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600" yWindow="60" windowWidth="12645" windowHeight="12510" tabRatio="835"/>
  </bookViews>
  <sheets>
    <sheet name="Raw Data" sheetId="3" r:id="rId1"/>
    <sheet name="Compilation" sheetId="4" r:id="rId2"/>
    <sheet name="Compilation 2" sheetId="5" r:id="rId3"/>
    <sheet name="Table" sheetId="6" r:id="rId4"/>
  </sheets>
  <definedNames>
    <definedName name="_xlnm.Print_Area" localSheetId="1">Compilation!$A$1:$O$44</definedName>
    <definedName name="_xlnm.Print_Area" localSheetId="2">'Compilation 2'!$A$1:$O$54</definedName>
    <definedName name="_xlnm.Print_Area" localSheetId="0">'Raw Data'!$A$1:$M$162</definedName>
    <definedName name="_xlnm.Print_Area" localSheetId="3">Table!$A$1:$X$138</definedName>
    <definedName name="_xlnm.Print_Titles" localSheetId="0">'Raw Data'!$1:$17</definedName>
    <definedName name="_xlnm.Print_Titles" localSheetId="3">Table!$1:$16</definedName>
  </definedNames>
  <calcPr calcId="145621"/>
</workbook>
</file>

<file path=xl/calcChain.xml><?xml version="1.0" encoding="utf-8"?>
<calcChain xmlns="http://schemas.openxmlformats.org/spreadsheetml/2006/main">
  <c r="O3" i="5" l="1"/>
  <c r="AC16" i="6"/>
  <c r="AE10" i="6"/>
  <c r="AC10" i="6"/>
  <c r="C5" i="5"/>
  <c r="AE9" i="6"/>
  <c r="AD9" i="6"/>
  <c r="AC9" i="6"/>
  <c r="C4" i="5"/>
  <c r="A8" i="3"/>
  <c r="C2" i="5"/>
  <c r="K6" i="5"/>
  <c r="K5" i="5"/>
  <c r="K4" i="5"/>
  <c r="K2" i="5"/>
  <c r="K6" i="4"/>
  <c r="K5" i="4"/>
  <c r="K4" i="4"/>
  <c r="K2" i="4"/>
  <c r="I11" i="3"/>
  <c r="I10" i="3"/>
  <c r="I9" i="3"/>
  <c r="I7" i="3"/>
  <c r="C3" i="4" l="1"/>
  <c r="C3" i="5"/>
  <c r="C2" i="4"/>
  <c r="O2" i="5"/>
  <c r="A9" i="3"/>
  <c r="A7" i="3"/>
  <c r="C5" i="4"/>
  <c r="A10" i="3"/>
  <c r="C4" i="4"/>
  <c r="O3" i="4"/>
  <c r="M8" i="3"/>
  <c r="H23" i="3"/>
  <c r="K23" i="3" s="1"/>
  <c r="L23" i="3"/>
  <c r="E22" i="6"/>
  <c r="E42" i="6"/>
  <c r="E54" i="6"/>
  <c r="E56" i="6"/>
  <c r="E62" i="6"/>
  <c r="E64" i="6"/>
  <c r="E70" i="6"/>
  <c r="E78" i="6"/>
  <c r="E80" i="6"/>
  <c r="E86" i="6"/>
  <c r="E88" i="6"/>
  <c r="E94" i="6"/>
  <c r="E96" i="6"/>
  <c r="E102" i="6"/>
  <c r="E110" i="6"/>
  <c r="E112" i="6"/>
  <c r="E114" i="6"/>
  <c r="E116" i="6"/>
  <c r="E118" i="6"/>
  <c r="E120" i="6"/>
  <c r="E122" i="6"/>
  <c r="E124" i="6"/>
  <c r="E126" i="6"/>
  <c r="E128" i="6"/>
  <c r="E130" i="6"/>
  <c r="E132" i="6"/>
  <c r="E134" i="6"/>
  <c r="E136" i="6"/>
  <c r="E24" i="6"/>
  <c r="E19" i="6"/>
  <c r="E21" i="6"/>
  <c r="E25" i="6"/>
  <c r="E27" i="6"/>
  <c r="E33" i="6"/>
  <c r="E35" i="6"/>
  <c r="E43" i="6"/>
  <c r="E45" i="6"/>
  <c r="E49" i="6"/>
  <c r="E51" i="6"/>
  <c r="E53" i="6"/>
  <c r="E57" i="6"/>
  <c r="E59" i="6"/>
  <c r="E65" i="6"/>
  <c r="E67" i="6"/>
  <c r="E69" i="6"/>
  <c r="E71" i="6"/>
  <c r="E75" i="6"/>
  <c r="E79" i="6"/>
  <c r="E81" i="6"/>
  <c r="E83" i="6"/>
  <c r="E87" i="6"/>
  <c r="E89" i="6"/>
  <c r="E91" i="6"/>
  <c r="E93" i="6"/>
  <c r="E95" i="6"/>
  <c r="E99" i="6"/>
  <c r="E101" i="6"/>
  <c r="E103" i="6"/>
  <c r="E107" i="6"/>
  <c r="E111" i="6"/>
  <c r="E113" i="6"/>
  <c r="E115" i="6"/>
  <c r="E117" i="6"/>
  <c r="E119" i="6"/>
  <c r="E123" i="6"/>
  <c r="E127" i="6"/>
  <c r="E129" i="6"/>
  <c r="E131" i="6"/>
  <c r="E133" i="6"/>
  <c r="E135" i="6"/>
  <c r="M30" i="3"/>
  <c r="E23" i="6"/>
  <c r="E30" i="6"/>
  <c r="E31" i="6"/>
  <c r="E32" i="6"/>
  <c r="E34" i="6"/>
  <c r="E36" i="6"/>
  <c r="E38" i="6"/>
  <c r="E39" i="6"/>
  <c r="E40" i="6"/>
  <c r="E44" i="6"/>
  <c r="E125" i="6"/>
  <c r="E121" i="6"/>
  <c r="E109" i="6"/>
  <c r="E108" i="6"/>
  <c r="E106" i="6"/>
  <c r="E105" i="6"/>
  <c r="E104" i="6"/>
  <c r="E100" i="6"/>
  <c r="E98" i="6"/>
  <c r="E97" i="6"/>
  <c r="E92" i="6"/>
  <c r="E90" i="6"/>
  <c r="E85" i="6"/>
  <c r="E84" i="6"/>
  <c r="E82" i="6"/>
  <c r="E77" i="6"/>
  <c r="E76" i="6"/>
  <c r="E74" i="6"/>
  <c r="E73" i="6"/>
  <c r="E72" i="6"/>
  <c r="E68" i="6"/>
  <c r="E66" i="6"/>
  <c r="E63" i="6"/>
  <c r="E61" i="6"/>
  <c r="E60" i="6"/>
  <c r="E58" i="6"/>
  <c r="E55" i="6"/>
  <c r="E52" i="6"/>
  <c r="E50" i="6"/>
  <c r="E48" i="6"/>
  <c r="E47" i="6"/>
  <c r="E46" i="6"/>
  <c r="E18" i="6"/>
  <c r="E20" i="6"/>
  <c r="E26" i="6"/>
  <c r="E28" i="6"/>
  <c r="O2" i="4" l="1"/>
  <c r="M7" i="3"/>
  <c r="F136" i="6"/>
  <c r="I135" i="6"/>
  <c r="F134" i="6"/>
  <c r="I133" i="6"/>
  <c r="F132" i="6"/>
  <c r="I131" i="6"/>
  <c r="F130" i="6"/>
  <c r="I129" i="6"/>
  <c r="F128" i="6"/>
  <c r="I127" i="6"/>
  <c r="F126" i="6"/>
  <c r="I125" i="6"/>
  <c r="F124" i="6"/>
  <c r="I123" i="6"/>
  <c r="F122" i="6"/>
  <c r="I121" i="6"/>
  <c r="F120" i="6"/>
  <c r="AN11" i="6"/>
  <c r="I119" i="6"/>
  <c r="F118" i="6"/>
  <c r="I117" i="6"/>
  <c r="F116" i="6"/>
  <c r="I115" i="6"/>
  <c r="F114" i="6"/>
  <c r="I113" i="6"/>
  <c r="F112" i="6"/>
  <c r="F45" i="6"/>
  <c r="I46" i="6"/>
  <c r="F33" i="6"/>
  <c r="I34" i="6"/>
  <c r="I26" i="6"/>
  <c r="F25" i="6"/>
  <c r="AN26" i="6"/>
  <c r="I22" i="6"/>
  <c r="F21" i="6"/>
  <c r="I27" i="6"/>
  <c r="F26" i="6"/>
  <c r="F47" i="6"/>
  <c r="I48" i="6"/>
  <c r="AN22" i="6"/>
  <c r="F51" i="6"/>
  <c r="I52" i="6"/>
  <c r="F55" i="6"/>
  <c r="I56" i="6"/>
  <c r="AN21" i="6"/>
  <c r="F59" i="6"/>
  <c r="I60" i="6"/>
  <c r="F63" i="6"/>
  <c r="I64" i="6"/>
  <c r="F67" i="6"/>
  <c r="I68" i="6"/>
  <c r="F71" i="6"/>
  <c r="I72" i="6"/>
  <c r="F75" i="6"/>
  <c r="I76" i="6"/>
  <c r="F77" i="6"/>
  <c r="I78" i="6"/>
  <c r="I82" i="6"/>
  <c r="F81" i="6"/>
  <c r="AN17" i="6"/>
  <c r="I86" i="6"/>
  <c r="F85" i="6"/>
  <c r="I88" i="6"/>
  <c r="F87" i="6"/>
  <c r="I92" i="6"/>
  <c r="F91" i="6"/>
  <c r="AN16" i="6"/>
  <c r="I96" i="6"/>
  <c r="F95" i="6"/>
  <c r="AN15" i="6"/>
  <c r="I100" i="6"/>
  <c r="F99" i="6"/>
  <c r="AN14" i="6"/>
  <c r="I104" i="6"/>
  <c r="F103" i="6"/>
  <c r="I110" i="6"/>
  <c r="F109" i="6"/>
  <c r="I114" i="6"/>
  <c r="F113" i="6"/>
  <c r="I120" i="6"/>
  <c r="F119" i="6"/>
  <c r="I124" i="6"/>
  <c r="F123" i="6"/>
  <c r="I128" i="6"/>
  <c r="F127" i="6"/>
  <c r="I132" i="6"/>
  <c r="F131" i="6"/>
  <c r="F44" i="6"/>
  <c r="I45" i="6"/>
  <c r="F40" i="6"/>
  <c r="F36" i="6"/>
  <c r="F34" i="6"/>
  <c r="I35" i="6"/>
  <c r="F30" i="6"/>
  <c r="I31" i="6"/>
  <c r="I24" i="6"/>
  <c r="F23" i="6"/>
  <c r="M133" i="6"/>
  <c r="N133" i="6"/>
  <c r="P133" i="6" s="1"/>
  <c r="L133" i="6"/>
  <c r="O133" i="6" s="1"/>
  <c r="M127" i="6"/>
  <c r="N127" i="6"/>
  <c r="P127" i="6" s="1"/>
  <c r="L127" i="6"/>
  <c r="O127" i="6" s="1"/>
  <c r="M123" i="6"/>
  <c r="N123" i="6"/>
  <c r="P123" i="6" s="1"/>
  <c r="L123" i="6"/>
  <c r="O123" i="6" s="1"/>
  <c r="M117" i="6"/>
  <c r="N117" i="6"/>
  <c r="P117" i="6" s="1"/>
  <c r="L117" i="6"/>
  <c r="O117" i="6" s="1"/>
  <c r="M111" i="6"/>
  <c r="N111" i="6"/>
  <c r="P111" i="6" s="1"/>
  <c r="L111" i="6"/>
  <c r="O111" i="6" s="1"/>
  <c r="M105" i="6"/>
  <c r="N105" i="6"/>
  <c r="P105" i="6" s="1"/>
  <c r="L105" i="6"/>
  <c r="O105" i="6" s="1"/>
  <c r="M101" i="6"/>
  <c r="N101" i="6"/>
  <c r="P101" i="6" s="1"/>
  <c r="L101" i="6"/>
  <c r="O101" i="6" s="1"/>
  <c r="M95" i="6"/>
  <c r="N95" i="6"/>
  <c r="P95" i="6" s="1"/>
  <c r="L95" i="6"/>
  <c r="O95" i="6" s="1"/>
  <c r="M89" i="6"/>
  <c r="N89" i="6"/>
  <c r="P89" i="6" s="1"/>
  <c r="L89" i="6"/>
  <c r="O89" i="6" s="1"/>
  <c r="M83" i="6"/>
  <c r="L83" i="6"/>
  <c r="O83" i="6" s="1"/>
  <c r="N83" i="6"/>
  <c r="P83" i="6" s="1"/>
  <c r="N77" i="6"/>
  <c r="P77" i="6" s="1"/>
  <c r="L77" i="6"/>
  <c r="M77" i="6"/>
  <c r="N65" i="6"/>
  <c r="P65" i="6" s="1"/>
  <c r="L65" i="6"/>
  <c r="O65" i="6" s="1"/>
  <c r="M65" i="6"/>
  <c r="N57" i="6"/>
  <c r="P57" i="6" s="1"/>
  <c r="L57" i="6"/>
  <c r="O57" i="6" s="1"/>
  <c r="M57" i="6"/>
  <c r="N41" i="6"/>
  <c r="P41" i="6" s="1"/>
  <c r="L41" i="6"/>
  <c r="O41" i="6" s="1"/>
  <c r="M41" i="6"/>
  <c r="N37" i="6"/>
  <c r="P37" i="6" s="1"/>
  <c r="L37" i="6"/>
  <c r="O37" i="6" s="1"/>
  <c r="M37" i="6"/>
  <c r="N29" i="6"/>
  <c r="P29" i="6" s="1"/>
  <c r="L29" i="6"/>
  <c r="O29" i="6" s="1"/>
  <c r="M29" i="6"/>
  <c r="F28" i="6"/>
  <c r="I25" i="6"/>
  <c r="F24" i="6"/>
  <c r="I21" i="6"/>
  <c r="F20" i="6"/>
  <c r="F46" i="6"/>
  <c r="I47" i="6"/>
  <c r="F48" i="6"/>
  <c r="I49" i="6"/>
  <c r="F50" i="6"/>
  <c r="I51" i="6"/>
  <c r="F52" i="6"/>
  <c r="I53" i="6"/>
  <c r="F54" i="6"/>
  <c r="I55" i="6"/>
  <c r="F56" i="6"/>
  <c r="I57" i="6"/>
  <c r="F58" i="6"/>
  <c r="I59" i="6"/>
  <c r="F60" i="6"/>
  <c r="I61" i="6"/>
  <c r="F62" i="6"/>
  <c r="I63" i="6"/>
  <c r="F64" i="6"/>
  <c r="I65" i="6"/>
  <c r="AN20" i="6"/>
  <c r="F66" i="6"/>
  <c r="I67" i="6"/>
  <c r="F68" i="6"/>
  <c r="I69" i="6"/>
  <c r="AN19" i="6"/>
  <c r="F70" i="6"/>
  <c r="I71" i="6"/>
  <c r="F72" i="6"/>
  <c r="I73" i="6"/>
  <c r="F74" i="6"/>
  <c r="I75" i="6"/>
  <c r="F76" i="6"/>
  <c r="I77" i="6"/>
  <c r="F78" i="6"/>
  <c r="I79" i="6"/>
  <c r="F80" i="6"/>
  <c r="I81" i="6"/>
  <c r="I83" i="6"/>
  <c r="F82" i="6"/>
  <c r="I85" i="6"/>
  <c r="F84" i="6"/>
  <c r="I87" i="6"/>
  <c r="F86" i="6"/>
  <c r="I89" i="6"/>
  <c r="F88" i="6"/>
  <c r="I91" i="6"/>
  <c r="F90" i="6"/>
  <c r="I93" i="6"/>
  <c r="F92" i="6"/>
  <c r="I95" i="6"/>
  <c r="F94" i="6"/>
  <c r="I97" i="6"/>
  <c r="F96" i="6"/>
  <c r="I99" i="6"/>
  <c r="F98" i="6"/>
  <c r="I101" i="6"/>
  <c r="F100" i="6"/>
  <c r="I103" i="6"/>
  <c r="F102" i="6"/>
  <c r="I105" i="6"/>
  <c r="F104" i="6"/>
  <c r="I107" i="6"/>
  <c r="F106" i="6"/>
  <c r="I109" i="6"/>
  <c r="F108" i="6"/>
  <c r="I111" i="6"/>
  <c r="F110" i="6"/>
  <c r="F43" i="6"/>
  <c r="I44" i="6"/>
  <c r="E41" i="6"/>
  <c r="F39" i="6"/>
  <c r="AN24" i="6"/>
  <c r="I40" i="6"/>
  <c r="E37" i="6"/>
  <c r="F35" i="6"/>
  <c r="I36" i="6"/>
  <c r="F31" i="6"/>
  <c r="I32" i="6"/>
  <c r="E29" i="6"/>
  <c r="N67" i="6"/>
  <c r="P67" i="6" s="1"/>
  <c r="L67" i="6"/>
  <c r="O67" i="6" s="1"/>
  <c r="M67" i="6"/>
  <c r="N63" i="6"/>
  <c r="P63" i="6" s="1"/>
  <c r="L63" i="6"/>
  <c r="O63" i="6" s="1"/>
  <c r="M63" i="6"/>
  <c r="N59" i="6"/>
  <c r="P59" i="6" s="1"/>
  <c r="L59" i="6"/>
  <c r="O59" i="6" s="1"/>
  <c r="M59" i="6"/>
  <c r="N55" i="6"/>
  <c r="P55" i="6" s="1"/>
  <c r="L55" i="6"/>
  <c r="O55" i="6" s="1"/>
  <c r="M55" i="6"/>
  <c r="N51" i="6"/>
  <c r="P51" i="6" s="1"/>
  <c r="L51" i="6"/>
  <c r="O51" i="6" s="1"/>
  <c r="M51" i="6"/>
  <c r="N47" i="6"/>
  <c r="P47" i="6" s="1"/>
  <c r="L47" i="6"/>
  <c r="O47" i="6" s="1"/>
  <c r="M47" i="6"/>
  <c r="N43" i="6"/>
  <c r="P43" i="6" s="1"/>
  <c r="L43" i="6"/>
  <c r="O43" i="6" s="1"/>
  <c r="M43" i="6"/>
  <c r="N39" i="6"/>
  <c r="P39" i="6" s="1"/>
  <c r="L39" i="6"/>
  <c r="O39" i="6" s="1"/>
  <c r="M39" i="6"/>
  <c r="N35" i="6"/>
  <c r="P35" i="6" s="1"/>
  <c r="L35" i="6"/>
  <c r="O35" i="6" s="1"/>
  <c r="M35" i="6"/>
  <c r="N31" i="6"/>
  <c r="P31" i="6" s="1"/>
  <c r="L31" i="6"/>
  <c r="O31" i="6" s="1"/>
  <c r="M31" i="6"/>
  <c r="N27" i="6"/>
  <c r="P27" i="6" s="1"/>
  <c r="L27" i="6"/>
  <c r="O27" i="6" s="1"/>
  <c r="M27" i="6"/>
  <c r="N23" i="6"/>
  <c r="P23" i="6" s="1"/>
  <c r="L23" i="6"/>
  <c r="O23" i="6" s="1"/>
  <c r="M23" i="6"/>
  <c r="N19" i="6"/>
  <c r="P19" i="6" s="1"/>
  <c r="L19" i="6"/>
  <c r="O19" i="6" s="1"/>
  <c r="M19" i="6"/>
  <c r="N52" i="6"/>
  <c r="P52" i="6" s="1"/>
  <c r="L52" i="6"/>
  <c r="O52" i="6" s="1"/>
  <c r="M52" i="6"/>
  <c r="N50" i="6"/>
  <c r="P50" i="6" s="1"/>
  <c r="L50" i="6"/>
  <c r="O50" i="6" s="1"/>
  <c r="M50" i="6"/>
  <c r="N46" i="6"/>
  <c r="P46" i="6" s="1"/>
  <c r="L46" i="6"/>
  <c r="O46" i="6" s="1"/>
  <c r="M46" i="6"/>
  <c r="N44" i="6"/>
  <c r="P44" i="6" s="1"/>
  <c r="L44" i="6"/>
  <c r="O44" i="6" s="1"/>
  <c r="M44" i="6"/>
  <c r="N40" i="6"/>
  <c r="P40" i="6" s="1"/>
  <c r="L40" i="6"/>
  <c r="O40" i="6" s="1"/>
  <c r="M40" i="6"/>
  <c r="N38" i="6"/>
  <c r="P38" i="6" s="1"/>
  <c r="L38" i="6"/>
  <c r="O38" i="6" s="1"/>
  <c r="M38" i="6"/>
  <c r="N36" i="6"/>
  <c r="P36" i="6" s="1"/>
  <c r="L36" i="6"/>
  <c r="O36" i="6" s="1"/>
  <c r="M36" i="6"/>
  <c r="N32" i="6"/>
  <c r="P32" i="6" s="1"/>
  <c r="L32" i="6"/>
  <c r="O32" i="6" s="1"/>
  <c r="M32" i="6"/>
  <c r="N30" i="6"/>
  <c r="P30" i="6" s="1"/>
  <c r="L30" i="6"/>
  <c r="O30" i="6" s="1"/>
  <c r="M30" i="6"/>
  <c r="N28" i="6"/>
  <c r="P28" i="6" s="1"/>
  <c r="L28" i="6"/>
  <c r="O28" i="6" s="1"/>
  <c r="M28" i="6"/>
  <c r="M26" i="6"/>
  <c r="N26" i="6"/>
  <c r="P26" i="6" s="1"/>
  <c r="L26" i="6"/>
  <c r="O26" i="6" s="1"/>
  <c r="M24" i="6"/>
  <c r="N24" i="6"/>
  <c r="P24" i="6" s="1"/>
  <c r="L24" i="6"/>
  <c r="O24" i="6" s="1"/>
  <c r="M20" i="6"/>
  <c r="N20" i="6"/>
  <c r="P20" i="6" s="1"/>
  <c r="L20" i="6"/>
  <c r="O20" i="6" s="1"/>
  <c r="M18" i="6"/>
  <c r="N18" i="6"/>
  <c r="P18" i="6" s="1"/>
  <c r="L18" i="6"/>
  <c r="O18" i="6" s="1"/>
  <c r="M106" i="6"/>
  <c r="N106" i="6"/>
  <c r="P106" i="6" s="1"/>
  <c r="L106" i="6"/>
  <c r="O106" i="6" s="1"/>
  <c r="M102" i="6"/>
  <c r="N102" i="6"/>
  <c r="P102" i="6" s="1"/>
  <c r="L102" i="6"/>
  <c r="O102" i="6" s="1"/>
  <c r="M98" i="6"/>
  <c r="N98" i="6"/>
  <c r="P98" i="6" s="1"/>
  <c r="L98" i="6"/>
  <c r="O98" i="6" s="1"/>
  <c r="M94" i="6"/>
  <c r="N94" i="6"/>
  <c r="P94" i="6" s="1"/>
  <c r="L94" i="6"/>
  <c r="O94" i="6" s="1"/>
  <c r="M90" i="6"/>
  <c r="N90" i="6"/>
  <c r="P90" i="6" s="1"/>
  <c r="L90" i="6"/>
  <c r="O90" i="6" s="1"/>
  <c r="M86" i="6"/>
  <c r="L86" i="6"/>
  <c r="O86" i="6" s="1"/>
  <c r="N86" i="6"/>
  <c r="P86" i="6" s="1"/>
  <c r="M82" i="6"/>
  <c r="L82" i="6"/>
  <c r="O82" i="6" s="1"/>
  <c r="N82" i="6"/>
  <c r="P82" i="6" s="1"/>
  <c r="N78" i="6"/>
  <c r="P78" i="6" s="1"/>
  <c r="L78" i="6"/>
  <c r="O78" i="6" s="1"/>
  <c r="M78" i="6"/>
  <c r="N74" i="6"/>
  <c r="P74" i="6" s="1"/>
  <c r="L74" i="6"/>
  <c r="O74" i="6" s="1"/>
  <c r="M74" i="6"/>
  <c r="N70" i="6"/>
  <c r="P70" i="6" s="1"/>
  <c r="L70" i="6"/>
  <c r="O70" i="6" s="1"/>
  <c r="M70" i="6"/>
  <c r="N66" i="6"/>
  <c r="P66" i="6" s="1"/>
  <c r="L66" i="6"/>
  <c r="O66" i="6" s="1"/>
  <c r="M66" i="6"/>
  <c r="N62" i="6"/>
  <c r="P62" i="6" s="1"/>
  <c r="L62" i="6"/>
  <c r="O62" i="6" s="1"/>
  <c r="M62" i="6"/>
  <c r="N58" i="6"/>
  <c r="P58" i="6" s="1"/>
  <c r="L58" i="6"/>
  <c r="O58" i="6" s="1"/>
  <c r="M58" i="6"/>
  <c r="N54" i="6"/>
  <c r="P54" i="6" s="1"/>
  <c r="L54" i="6"/>
  <c r="O54" i="6" s="1"/>
  <c r="M54" i="6"/>
  <c r="N48" i="6"/>
  <c r="P48" i="6" s="1"/>
  <c r="L48" i="6"/>
  <c r="O48" i="6" s="1"/>
  <c r="M48" i="6"/>
  <c r="N42" i="6"/>
  <c r="P42" i="6" s="1"/>
  <c r="L42" i="6"/>
  <c r="O42" i="6" s="1"/>
  <c r="M42" i="6"/>
  <c r="N34" i="6"/>
  <c r="P34" i="6" s="1"/>
  <c r="L34" i="6"/>
  <c r="O34" i="6" s="1"/>
  <c r="M34" i="6"/>
  <c r="M22" i="6"/>
  <c r="N22" i="6"/>
  <c r="P22" i="6" s="1"/>
  <c r="L22" i="6"/>
  <c r="O22" i="6" s="1"/>
  <c r="I23" i="6"/>
  <c r="F22" i="6"/>
  <c r="I18" i="6"/>
  <c r="AN27" i="6"/>
  <c r="I19" i="6"/>
  <c r="F18" i="6"/>
  <c r="F49" i="6"/>
  <c r="I50" i="6"/>
  <c r="F53" i="6"/>
  <c r="I54" i="6"/>
  <c r="F57" i="6"/>
  <c r="I58" i="6"/>
  <c r="F61" i="6"/>
  <c r="I62" i="6"/>
  <c r="F65" i="6"/>
  <c r="I66" i="6"/>
  <c r="F69" i="6"/>
  <c r="I70" i="6"/>
  <c r="F73" i="6"/>
  <c r="I74" i="6"/>
  <c r="AN18" i="6"/>
  <c r="F79" i="6"/>
  <c r="I80" i="6"/>
  <c r="I84" i="6"/>
  <c r="F83" i="6"/>
  <c r="I90" i="6"/>
  <c r="F89" i="6"/>
  <c r="I94" i="6"/>
  <c r="F93" i="6"/>
  <c r="I98" i="6"/>
  <c r="F97" i="6"/>
  <c r="I102" i="6"/>
  <c r="F101" i="6"/>
  <c r="I106" i="6"/>
  <c r="F105" i="6"/>
  <c r="I108" i="6"/>
  <c r="F107" i="6"/>
  <c r="AN13" i="6"/>
  <c r="I112" i="6"/>
  <c r="F111" i="6"/>
  <c r="I116" i="6"/>
  <c r="F115" i="6"/>
  <c r="I118" i="6"/>
  <c r="F117" i="6"/>
  <c r="AN12" i="6"/>
  <c r="I122" i="6"/>
  <c r="F121" i="6"/>
  <c r="I126" i="6"/>
  <c r="F125" i="6"/>
  <c r="AN10" i="6"/>
  <c r="I130" i="6"/>
  <c r="F129" i="6"/>
  <c r="I134" i="6"/>
  <c r="F133" i="6"/>
  <c r="AN9" i="6"/>
  <c r="I136" i="6"/>
  <c r="F135" i="6"/>
  <c r="AN8" i="6"/>
  <c r="F42" i="6"/>
  <c r="I43" i="6"/>
  <c r="AN23" i="6"/>
  <c r="F38" i="6"/>
  <c r="I39" i="6"/>
  <c r="F32" i="6"/>
  <c r="I33" i="6"/>
  <c r="I28" i="6"/>
  <c r="F27" i="6"/>
  <c r="I20" i="6"/>
  <c r="F19" i="6"/>
  <c r="M135" i="6"/>
  <c r="N135" i="6"/>
  <c r="P135" i="6" s="1"/>
  <c r="L135" i="6"/>
  <c r="O135" i="6" s="1"/>
  <c r="M131" i="6"/>
  <c r="N131" i="6"/>
  <c r="P131" i="6" s="1"/>
  <c r="L131" i="6"/>
  <c r="O131" i="6" s="1"/>
  <c r="M129" i="6"/>
  <c r="N129" i="6"/>
  <c r="P129" i="6" s="1"/>
  <c r="L129" i="6"/>
  <c r="O129" i="6" s="1"/>
  <c r="M125" i="6"/>
  <c r="N125" i="6"/>
  <c r="P125" i="6" s="1"/>
  <c r="L125" i="6"/>
  <c r="O125" i="6" s="1"/>
  <c r="M121" i="6"/>
  <c r="N121" i="6"/>
  <c r="P121" i="6" s="1"/>
  <c r="L121" i="6"/>
  <c r="O121" i="6" s="1"/>
  <c r="M119" i="6"/>
  <c r="N119" i="6"/>
  <c r="P119" i="6" s="1"/>
  <c r="L119" i="6"/>
  <c r="O119" i="6" s="1"/>
  <c r="M115" i="6"/>
  <c r="N115" i="6"/>
  <c r="P115" i="6" s="1"/>
  <c r="L115" i="6"/>
  <c r="O115" i="6" s="1"/>
  <c r="M113" i="6"/>
  <c r="N113" i="6"/>
  <c r="P113" i="6" s="1"/>
  <c r="L113" i="6"/>
  <c r="O113" i="6" s="1"/>
  <c r="M109" i="6"/>
  <c r="N109" i="6"/>
  <c r="P109" i="6" s="1"/>
  <c r="L109" i="6"/>
  <c r="O109" i="6" s="1"/>
  <c r="M107" i="6"/>
  <c r="N107" i="6"/>
  <c r="P107" i="6" s="1"/>
  <c r="L107" i="6"/>
  <c r="O107" i="6" s="1"/>
  <c r="M103" i="6"/>
  <c r="N103" i="6"/>
  <c r="P103" i="6" s="1"/>
  <c r="L103" i="6"/>
  <c r="O103" i="6" s="1"/>
  <c r="M99" i="6"/>
  <c r="N99" i="6"/>
  <c r="P99" i="6" s="1"/>
  <c r="L99" i="6"/>
  <c r="O99" i="6" s="1"/>
  <c r="M97" i="6"/>
  <c r="N97" i="6"/>
  <c r="P97" i="6" s="1"/>
  <c r="L97" i="6"/>
  <c r="O97" i="6" s="1"/>
  <c r="M93" i="6"/>
  <c r="N93" i="6"/>
  <c r="P93" i="6" s="1"/>
  <c r="L93" i="6"/>
  <c r="O93" i="6" s="1"/>
  <c r="M91" i="6"/>
  <c r="N91" i="6"/>
  <c r="P91" i="6" s="1"/>
  <c r="L91" i="6"/>
  <c r="O91" i="6" s="1"/>
  <c r="M87" i="6"/>
  <c r="L87" i="6"/>
  <c r="O87" i="6" s="1"/>
  <c r="N87" i="6"/>
  <c r="P87" i="6" s="1"/>
  <c r="M85" i="6"/>
  <c r="L85" i="6"/>
  <c r="O85" i="6" s="1"/>
  <c r="N85" i="6"/>
  <c r="P85" i="6" s="1"/>
  <c r="N81" i="6"/>
  <c r="P81" i="6" s="1"/>
  <c r="L81" i="6"/>
  <c r="O81" i="6" s="1"/>
  <c r="M81" i="6"/>
  <c r="N79" i="6"/>
  <c r="P79" i="6" s="1"/>
  <c r="L79" i="6"/>
  <c r="O79" i="6" s="1"/>
  <c r="M79" i="6"/>
  <c r="N75" i="6"/>
  <c r="P75" i="6" s="1"/>
  <c r="L75" i="6"/>
  <c r="O75" i="6" s="1"/>
  <c r="M75" i="6"/>
  <c r="N73" i="6"/>
  <c r="P73" i="6" s="1"/>
  <c r="L73" i="6"/>
  <c r="O73" i="6" s="1"/>
  <c r="M73" i="6"/>
  <c r="N71" i="6"/>
  <c r="P71" i="6" s="1"/>
  <c r="L71" i="6"/>
  <c r="O71" i="6" s="1"/>
  <c r="M71" i="6"/>
  <c r="N69" i="6"/>
  <c r="P69" i="6" s="1"/>
  <c r="L69" i="6"/>
  <c r="O69" i="6" s="1"/>
  <c r="M69" i="6"/>
  <c r="N61" i="6"/>
  <c r="P61" i="6" s="1"/>
  <c r="L61" i="6"/>
  <c r="O61" i="6" s="1"/>
  <c r="M61" i="6"/>
  <c r="N53" i="6"/>
  <c r="P53" i="6" s="1"/>
  <c r="L53" i="6"/>
  <c r="O53" i="6" s="1"/>
  <c r="M53" i="6"/>
  <c r="N49" i="6"/>
  <c r="P49" i="6" s="1"/>
  <c r="L49" i="6"/>
  <c r="O49" i="6" s="1"/>
  <c r="M49" i="6"/>
  <c r="N45" i="6"/>
  <c r="P45" i="6" s="1"/>
  <c r="L45" i="6"/>
  <c r="O45" i="6" s="1"/>
  <c r="M45" i="6"/>
  <c r="N33" i="6"/>
  <c r="P33" i="6" s="1"/>
  <c r="L33" i="6"/>
  <c r="O33" i="6" s="1"/>
  <c r="M33" i="6"/>
  <c r="N25" i="6"/>
  <c r="P25" i="6" s="1"/>
  <c r="L25" i="6"/>
  <c r="O25" i="6" s="1"/>
  <c r="M25" i="6"/>
  <c r="N21" i="6"/>
  <c r="P21" i="6" s="1"/>
  <c r="L21" i="6"/>
  <c r="O21" i="6" s="1"/>
  <c r="M21" i="6"/>
  <c r="M136" i="6"/>
  <c r="N136" i="6"/>
  <c r="P136" i="6" s="1"/>
  <c r="L136" i="6"/>
  <c r="O136" i="6" s="1"/>
  <c r="M134" i="6"/>
  <c r="N134" i="6"/>
  <c r="P134" i="6" s="1"/>
  <c r="L134" i="6"/>
  <c r="O134" i="6" s="1"/>
  <c r="M132" i="6"/>
  <c r="N132" i="6"/>
  <c r="P132" i="6" s="1"/>
  <c r="L132" i="6"/>
  <c r="O132" i="6" s="1"/>
  <c r="M130" i="6"/>
  <c r="N130" i="6"/>
  <c r="P130" i="6" s="1"/>
  <c r="L130" i="6"/>
  <c r="O130" i="6" s="1"/>
  <c r="M128" i="6"/>
  <c r="N128" i="6"/>
  <c r="P128" i="6" s="1"/>
  <c r="L128" i="6"/>
  <c r="O128" i="6" s="1"/>
  <c r="M126" i="6"/>
  <c r="N126" i="6"/>
  <c r="P126" i="6" s="1"/>
  <c r="L126" i="6"/>
  <c r="O126" i="6" s="1"/>
  <c r="M124" i="6"/>
  <c r="N124" i="6"/>
  <c r="P124" i="6" s="1"/>
  <c r="L124" i="6"/>
  <c r="O124" i="6" s="1"/>
  <c r="M122" i="6"/>
  <c r="N122" i="6"/>
  <c r="P122" i="6" s="1"/>
  <c r="L122" i="6"/>
  <c r="O122" i="6" s="1"/>
  <c r="M120" i="6"/>
  <c r="N120" i="6"/>
  <c r="P120" i="6" s="1"/>
  <c r="L120" i="6"/>
  <c r="O120" i="6" s="1"/>
  <c r="M118" i="6"/>
  <c r="N118" i="6"/>
  <c r="P118" i="6" s="1"/>
  <c r="L118" i="6"/>
  <c r="O118" i="6" s="1"/>
  <c r="M116" i="6"/>
  <c r="N116" i="6"/>
  <c r="P116" i="6" s="1"/>
  <c r="L116" i="6"/>
  <c r="O116" i="6" s="1"/>
  <c r="M114" i="6"/>
  <c r="N114" i="6"/>
  <c r="P114" i="6" s="1"/>
  <c r="L114" i="6"/>
  <c r="O114" i="6" s="1"/>
  <c r="M112" i="6"/>
  <c r="N112" i="6"/>
  <c r="P112" i="6" s="1"/>
  <c r="L112" i="6"/>
  <c r="O112" i="6" s="1"/>
  <c r="M110" i="6"/>
  <c r="N110" i="6"/>
  <c r="P110" i="6" s="1"/>
  <c r="L110" i="6"/>
  <c r="O110" i="6" s="1"/>
  <c r="M108" i="6"/>
  <c r="N108" i="6"/>
  <c r="P108" i="6" s="1"/>
  <c r="L108" i="6"/>
  <c r="O108" i="6" s="1"/>
  <c r="M104" i="6"/>
  <c r="N104" i="6"/>
  <c r="P104" i="6" s="1"/>
  <c r="L104" i="6"/>
  <c r="O104" i="6" s="1"/>
  <c r="M100" i="6"/>
  <c r="N100" i="6"/>
  <c r="P100" i="6" s="1"/>
  <c r="L100" i="6"/>
  <c r="O100" i="6" s="1"/>
  <c r="M96" i="6"/>
  <c r="N96" i="6"/>
  <c r="P96" i="6" s="1"/>
  <c r="L96" i="6"/>
  <c r="O96" i="6" s="1"/>
  <c r="M92" i="6"/>
  <c r="N92" i="6"/>
  <c r="P92" i="6" s="1"/>
  <c r="L92" i="6"/>
  <c r="O92" i="6" s="1"/>
  <c r="M88" i="6"/>
  <c r="L88" i="6"/>
  <c r="O88" i="6" s="1"/>
  <c r="N88" i="6"/>
  <c r="P88" i="6" s="1"/>
  <c r="M84" i="6"/>
  <c r="L84" i="6"/>
  <c r="O84" i="6" s="1"/>
  <c r="N84" i="6"/>
  <c r="P84" i="6" s="1"/>
  <c r="N80" i="6"/>
  <c r="P80" i="6" s="1"/>
  <c r="L80" i="6"/>
  <c r="O80" i="6" s="1"/>
  <c r="M80" i="6"/>
  <c r="N76" i="6"/>
  <c r="P76" i="6" s="1"/>
  <c r="L76" i="6"/>
  <c r="O76" i="6" s="1"/>
  <c r="M76" i="6"/>
  <c r="N72" i="6"/>
  <c r="P72" i="6" s="1"/>
  <c r="L72" i="6"/>
  <c r="O72" i="6" s="1"/>
  <c r="M72" i="6"/>
  <c r="N68" i="6"/>
  <c r="P68" i="6" s="1"/>
  <c r="L68" i="6"/>
  <c r="O68" i="6" s="1"/>
  <c r="M68" i="6"/>
  <c r="N64" i="6"/>
  <c r="P64" i="6" s="1"/>
  <c r="L64" i="6"/>
  <c r="O64" i="6" s="1"/>
  <c r="M64" i="6"/>
  <c r="N60" i="6"/>
  <c r="P60" i="6" s="1"/>
  <c r="L60" i="6"/>
  <c r="O60" i="6" s="1"/>
  <c r="M60" i="6"/>
  <c r="N56" i="6"/>
  <c r="P56" i="6" s="1"/>
  <c r="L56" i="6"/>
  <c r="O56" i="6" s="1"/>
  <c r="M56" i="6"/>
  <c r="F37" i="6" l="1"/>
  <c r="I38" i="6"/>
  <c r="I37" i="6"/>
  <c r="F29" i="6"/>
  <c r="I30" i="6"/>
  <c r="AN25" i="6"/>
  <c r="F41" i="6"/>
  <c r="I42" i="6"/>
  <c r="I29" i="6"/>
  <c r="O77" i="6"/>
  <c r="I41" i="6"/>
  <c r="C18" i="3" l="1"/>
  <c r="Q18" i="6" l="1"/>
  <c r="R18" i="6"/>
  <c r="U18" i="6" s="1"/>
  <c r="V18" i="6" s="1"/>
  <c r="C19" i="3"/>
  <c r="R19" i="6" l="1"/>
  <c r="U19" i="6" s="1"/>
  <c r="V19" i="6" s="1"/>
  <c r="Q19" i="6"/>
  <c r="C20" i="3"/>
  <c r="Q20" i="6" l="1"/>
  <c r="R20" i="6"/>
  <c r="U20" i="6" s="1"/>
  <c r="V20" i="6" s="1"/>
  <c r="C21" i="3"/>
  <c r="R21" i="6" l="1"/>
  <c r="U21" i="6" s="1"/>
  <c r="V21" i="6" s="1"/>
  <c r="Q21" i="6"/>
  <c r="C22" i="3"/>
  <c r="Q22" i="6" l="1"/>
  <c r="R22" i="6"/>
  <c r="U22" i="6" s="1"/>
  <c r="V22" i="6" s="1"/>
  <c r="C23" i="3"/>
  <c r="C24" i="3" l="1"/>
  <c r="R23" i="6"/>
  <c r="U23" i="6" s="1"/>
  <c r="V23" i="6" s="1"/>
  <c r="Q23" i="6"/>
  <c r="C25" i="3" l="1"/>
  <c r="Q24" i="6"/>
  <c r="R24" i="6"/>
  <c r="U24" i="6" s="1"/>
  <c r="V24" i="6" s="1"/>
  <c r="C26" i="3" l="1"/>
  <c r="R25" i="6"/>
  <c r="U25" i="6" s="1"/>
  <c r="V25" i="6" s="1"/>
  <c r="Q25" i="6"/>
  <c r="C27" i="3" l="1"/>
  <c r="Q26" i="6"/>
  <c r="R26" i="6"/>
  <c r="U26" i="6" s="1"/>
  <c r="V26" i="6" s="1"/>
  <c r="C28" i="3" l="1"/>
  <c r="R27" i="6"/>
  <c r="U27" i="6" s="1"/>
  <c r="V27" i="6" s="1"/>
  <c r="Q27" i="6"/>
  <c r="C29" i="3" l="1"/>
  <c r="R28" i="6"/>
  <c r="U28" i="6" s="1"/>
  <c r="V28" i="6" s="1"/>
  <c r="Q28" i="6"/>
  <c r="C30" i="3" l="1"/>
  <c r="R29" i="6"/>
  <c r="U29" i="6" s="1"/>
  <c r="V29" i="6" s="1"/>
  <c r="Q29" i="6"/>
  <c r="C31" i="3" l="1"/>
  <c r="R30" i="6"/>
  <c r="U30" i="6" s="1"/>
  <c r="V30" i="6" s="1"/>
  <c r="Q30" i="6"/>
  <c r="C32" i="3" l="1"/>
  <c r="R31" i="6"/>
  <c r="U31" i="6" s="1"/>
  <c r="V31" i="6" s="1"/>
  <c r="Q31" i="6"/>
  <c r="C33" i="3" l="1"/>
  <c r="R32" i="6"/>
  <c r="U32" i="6" s="1"/>
  <c r="V32" i="6" s="1"/>
  <c r="Q32" i="6"/>
  <c r="C34" i="3" l="1"/>
  <c r="R33" i="6"/>
  <c r="U33" i="6" s="1"/>
  <c r="V33" i="6" s="1"/>
  <c r="Q33" i="6"/>
  <c r="C35" i="3" l="1"/>
  <c r="R34" i="6"/>
  <c r="U34" i="6" s="1"/>
  <c r="V34" i="6" s="1"/>
  <c r="Q34" i="6"/>
  <c r="R35" i="6" l="1"/>
  <c r="U35" i="6" s="1"/>
  <c r="V35" i="6" s="1"/>
  <c r="Q35" i="6"/>
  <c r="C36" i="3"/>
  <c r="C37" i="3" l="1"/>
  <c r="R36" i="6"/>
  <c r="U36" i="6" s="1"/>
  <c r="V36" i="6" s="1"/>
  <c r="Q36" i="6"/>
  <c r="R37" i="6" l="1"/>
  <c r="U37" i="6" s="1"/>
  <c r="V37" i="6" s="1"/>
  <c r="Q37" i="6"/>
  <c r="C38" i="3"/>
  <c r="R38" i="6" l="1"/>
  <c r="U38" i="6" s="1"/>
  <c r="V38" i="6" s="1"/>
  <c r="Q38" i="6"/>
  <c r="C39" i="3"/>
  <c r="R39" i="6" l="1"/>
  <c r="U39" i="6" s="1"/>
  <c r="V39" i="6" s="1"/>
  <c r="Q39" i="6"/>
  <c r="C40" i="3"/>
  <c r="R40" i="6" l="1"/>
  <c r="U40" i="6" s="1"/>
  <c r="V40" i="6" s="1"/>
  <c r="Q40" i="6"/>
  <c r="C41" i="3"/>
  <c r="R41" i="6" l="1"/>
  <c r="U41" i="6" s="1"/>
  <c r="V41" i="6" s="1"/>
  <c r="Q41" i="6"/>
  <c r="C42" i="3"/>
  <c r="R42" i="6" l="1"/>
  <c r="U42" i="6" s="1"/>
  <c r="V42" i="6" s="1"/>
  <c r="Q42" i="6"/>
  <c r="C43" i="3"/>
  <c r="R43" i="6" l="1"/>
  <c r="U43" i="6" s="1"/>
  <c r="V43" i="6" s="1"/>
  <c r="Q43" i="6"/>
  <c r="C44" i="3"/>
  <c r="R44" i="6" l="1"/>
  <c r="U44" i="6" s="1"/>
  <c r="V44" i="6" s="1"/>
  <c r="Q44" i="6"/>
  <c r="C45" i="3"/>
  <c r="R45" i="6" l="1"/>
  <c r="U45" i="6" s="1"/>
  <c r="V45" i="6" s="1"/>
  <c r="Q45" i="6"/>
  <c r="C46" i="3"/>
  <c r="R46" i="6" l="1"/>
  <c r="U46" i="6" s="1"/>
  <c r="V46" i="6" s="1"/>
  <c r="Q46" i="6"/>
  <c r="C47" i="3"/>
  <c r="R47" i="6" l="1"/>
  <c r="U47" i="6" s="1"/>
  <c r="V47" i="6" s="1"/>
  <c r="Q47" i="6"/>
  <c r="C48" i="3"/>
  <c r="R48" i="6" l="1"/>
  <c r="U48" i="6" s="1"/>
  <c r="V48" i="6" s="1"/>
  <c r="Q48" i="6"/>
  <c r="C49" i="3"/>
  <c r="R49" i="6" l="1"/>
  <c r="U49" i="6" s="1"/>
  <c r="V49" i="6" s="1"/>
  <c r="Q49" i="6"/>
  <c r="C50" i="3"/>
  <c r="R50" i="6" l="1"/>
  <c r="U50" i="6" s="1"/>
  <c r="V50" i="6" s="1"/>
  <c r="Q50" i="6"/>
  <c r="C51" i="3"/>
  <c r="R51" i="6" l="1"/>
  <c r="U51" i="6" s="1"/>
  <c r="V51" i="6" s="1"/>
  <c r="Q51" i="6"/>
  <c r="C52" i="3"/>
  <c r="R52" i="6" l="1"/>
  <c r="U52" i="6" s="1"/>
  <c r="V52" i="6" s="1"/>
  <c r="Q52" i="6"/>
  <c r="C53" i="3"/>
  <c r="R53" i="6" l="1"/>
  <c r="U53" i="6" s="1"/>
  <c r="V53" i="6" s="1"/>
  <c r="Q53" i="6"/>
  <c r="C54" i="3"/>
  <c r="R54" i="6" l="1"/>
  <c r="U54" i="6" s="1"/>
  <c r="V54" i="6" s="1"/>
  <c r="Q54" i="6"/>
  <c r="C55" i="3"/>
  <c r="R55" i="6" l="1"/>
  <c r="U55" i="6" s="1"/>
  <c r="V55" i="6" s="1"/>
  <c r="Q55" i="6"/>
  <c r="C56" i="3"/>
  <c r="R56" i="6" l="1"/>
  <c r="U56" i="6" s="1"/>
  <c r="V56" i="6" s="1"/>
  <c r="Q56" i="6"/>
  <c r="C57" i="3"/>
  <c r="R57" i="6" l="1"/>
  <c r="U57" i="6" s="1"/>
  <c r="V57" i="6" s="1"/>
  <c r="Q57" i="6"/>
  <c r="C58" i="3"/>
  <c r="R58" i="6" l="1"/>
  <c r="U58" i="6" s="1"/>
  <c r="V58" i="6" s="1"/>
  <c r="Q58" i="6"/>
  <c r="C59" i="3"/>
  <c r="R59" i="6" l="1"/>
  <c r="U59" i="6" s="1"/>
  <c r="V59" i="6" s="1"/>
  <c r="Q59" i="6"/>
  <c r="C60" i="3"/>
  <c r="R60" i="6" l="1"/>
  <c r="U60" i="6" s="1"/>
  <c r="V60" i="6" s="1"/>
  <c r="Q60" i="6"/>
  <c r="C61" i="3"/>
  <c r="R61" i="6" l="1"/>
  <c r="U61" i="6" s="1"/>
  <c r="V61" i="6" s="1"/>
  <c r="Q61" i="6"/>
  <c r="C62" i="3"/>
  <c r="R62" i="6" l="1"/>
  <c r="U62" i="6" s="1"/>
  <c r="V62" i="6" s="1"/>
  <c r="Q62" i="6"/>
  <c r="C63" i="3"/>
  <c r="R63" i="6" l="1"/>
  <c r="U63" i="6" s="1"/>
  <c r="V63" i="6" s="1"/>
  <c r="Q63" i="6"/>
  <c r="C64" i="3"/>
  <c r="R64" i="6" l="1"/>
  <c r="U64" i="6" s="1"/>
  <c r="V64" i="6" s="1"/>
  <c r="Q64" i="6"/>
  <c r="C65" i="3"/>
  <c r="R65" i="6" l="1"/>
  <c r="U65" i="6" s="1"/>
  <c r="V65" i="6" s="1"/>
  <c r="Q65" i="6"/>
  <c r="C66" i="3"/>
  <c r="R66" i="6" l="1"/>
  <c r="U66" i="6" s="1"/>
  <c r="V66" i="6" s="1"/>
  <c r="Q66" i="6"/>
  <c r="C67" i="3"/>
  <c r="R67" i="6" l="1"/>
  <c r="U67" i="6" s="1"/>
  <c r="V67" i="6" s="1"/>
  <c r="Q67" i="6"/>
  <c r="C68" i="3"/>
  <c r="R68" i="6" l="1"/>
  <c r="U68" i="6" s="1"/>
  <c r="V68" i="6" s="1"/>
  <c r="Q68" i="6"/>
  <c r="C69" i="3"/>
  <c r="R69" i="6" l="1"/>
  <c r="U69" i="6" s="1"/>
  <c r="V69" i="6" s="1"/>
  <c r="Q69" i="6"/>
  <c r="C70" i="3"/>
  <c r="R70" i="6" l="1"/>
  <c r="U70" i="6" s="1"/>
  <c r="V70" i="6" s="1"/>
  <c r="Q70" i="6"/>
  <c r="C71" i="3"/>
  <c r="C72" i="3" l="1"/>
  <c r="R71" i="6"/>
  <c r="U71" i="6" s="1"/>
  <c r="V71" i="6" s="1"/>
  <c r="Q71" i="6"/>
  <c r="C73" i="3" l="1"/>
  <c r="R72" i="6"/>
  <c r="U72" i="6" s="1"/>
  <c r="V72" i="6" s="1"/>
  <c r="Q72" i="6"/>
  <c r="C74" i="3" l="1"/>
  <c r="R73" i="6"/>
  <c r="U73" i="6" s="1"/>
  <c r="V73" i="6" s="1"/>
  <c r="Q73" i="6"/>
  <c r="C75" i="3" l="1"/>
  <c r="R74" i="6"/>
  <c r="U74" i="6" s="1"/>
  <c r="V74" i="6" s="1"/>
  <c r="Q74" i="6"/>
  <c r="C76" i="3" l="1"/>
  <c r="R75" i="6"/>
  <c r="U75" i="6" s="1"/>
  <c r="V75" i="6" s="1"/>
  <c r="Q75" i="6"/>
  <c r="C77" i="3" l="1"/>
  <c r="K34" i="3"/>
  <c r="R76" i="6"/>
  <c r="U76" i="6" s="1"/>
  <c r="V76" i="6" s="1"/>
  <c r="Q76" i="6"/>
  <c r="C78" i="3" l="1"/>
  <c r="R77" i="6"/>
  <c r="U77" i="6" s="1"/>
  <c r="V77" i="6" s="1"/>
  <c r="Q77" i="6"/>
  <c r="C79" i="3" l="1"/>
  <c r="R78" i="6"/>
  <c r="U78" i="6" s="1"/>
  <c r="V78" i="6" s="1"/>
  <c r="Q78" i="6"/>
  <c r="C80" i="3" l="1"/>
  <c r="R79" i="6"/>
  <c r="U79" i="6" s="1"/>
  <c r="V79" i="6" s="1"/>
  <c r="Q79" i="6"/>
  <c r="C81" i="3" l="1"/>
  <c r="R80" i="6"/>
  <c r="U80" i="6" s="1"/>
  <c r="V80" i="6" s="1"/>
  <c r="Q80" i="6"/>
  <c r="C82" i="3" l="1"/>
  <c r="R81" i="6"/>
  <c r="U81" i="6" s="1"/>
  <c r="V81" i="6" s="1"/>
  <c r="Q81" i="6"/>
  <c r="C83" i="3" l="1"/>
  <c r="Q82" i="6"/>
  <c r="R82" i="6"/>
  <c r="U82" i="6" s="1"/>
  <c r="V82" i="6" s="1"/>
  <c r="C84" i="3" l="1"/>
  <c r="Q83" i="6"/>
  <c r="R83" i="6"/>
  <c r="U83" i="6" s="1"/>
  <c r="V83" i="6" s="1"/>
  <c r="C85" i="3" l="1"/>
  <c r="Q84" i="6"/>
  <c r="R84" i="6"/>
  <c r="U84" i="6" s="1"/>
  <c r="V84" i="6" s="1"/>
  <c r="Q85" i="6" l="1"/>
  <c r="R85" i="6"/>
  <c r="U85" i="6" s="1"/>
  <c r="V85" i="6" s="1"/>
  <c r="C86" i="3"/>
  <c r="Q86" i="6" l="1"/>
  <c r="R86" i="6"/>
  <c r="U86" i="6" s="1"/>
  <c r="V86" i="6" s="1"/>
  <c r="C87" i="3"/>
  <c r="Q87" i="6" l="1"/>
  <c r="R87" i="6"/>
  <c r="U87" i="6" s="1"/>
  <c r="V87" i="6" s="1"/>
  <c r="C88" i="3"/>
  <c r="Q88" i="6" l="1"/>
  <c r="R88" i="6"/>
  <c r="U88" i="6" s="1"/>
  <c r="V88" i="6" s="1"/>
  <c r="C89" i="3"/>
  <c r="Q89" i="6" l="1"/>
  <c r="R89" i="6"/>
  <c r="U89" i="6" s="1"/>
  <c r="V89" i="6" s="1"/>
  <c r="C90" i="3"/>
  <c r="Q90" i="6" l="1"/>
  <c r="R90" i="6"/>
  <c r="U90" i="6" s="1"/>
  <c r="V90" i="6" s="1"/>
  <c r="C91" i="3"/>
  <c r="C92" i="3" l="1"/>
  <c r="Q91" i="6"/>
  <c r="R91" i="6"/>
  <c r="U91" i="6" s="1"/>
  <c r="V91" i="6" s="1"/>
  <c r="C93" i="3" l="1"/>
  <c r="Q92" i="6"/>
  <c r="R92" i="6"/>
  <c r="U92" i="6" s="1"/>
  <c r="V92" i="6" s="1"/>
  <c r="Q93" i="6" l="1"/>
  <c r="R93" i="6"/>
  <c r="U93" i="6" s="1"/>
  <c r="V93" i="6" s="1"/>
  <c r="C94" i="3"/>
  <c r="Q94" i="6" l="1"/>
  <c r="R94" i="6"/>
  <c r="U94" i="6" s="1"/>
  <c r="V94" i="6" s="1"/>
  <c r="C95" i="3"/>
  <c r="Q95" i="6" l="1"/>
  <c r="R95" i="6"/>
  <c r="U95" i="6" s="1"/>
  <c r="V95" i="6" s="1"/>
  <c r="C96" i="3"/>
  <c r="C97" i="3" l="1"/>
  <c r="Q96" i="6"/>
  <c r="R96" i="6"/>
  <c r="U96" i="6" s="1"/>
  <c r="V96" i="6" s="1"/>
  <c r="C98" i="3" l="1"/>
  <c r="Q97" i="6"/>
  <c r="R97" i="6"/>
  <c r="U97" i="6" s="1"/>
  <c r="V97" i="6" s="1"/>
  <c r="C99" i="3" l="1"/>
  <c r="Q98" i="6"/>
  <c r="R98" i="6"/>
  <c r="U98" i="6" s="1"/>
  <c r="V98" i="6" s="1"/>
  <c r="C100" i="3" l="1"/>
  <c r="Q99" i="6"/>
  <c r="R99" i="6"/>
  <c r="U99" i="6" s="1"/>
  <c r="V99" i="6" s="1"/>
  <c r="C101" i="3" l="1"/>
  <c r="Q100" i="6"/>
  <c r="R100" i="6"/>
  <c r="U100" i="6" s="1"/>
  <c r="V100" i="6" s="1"/>
  <c r="C102" i="3" l="1"/>
  <c r="Q101" i="6"/>
  <c r="R101" i="6"/>
  <c r="U101" i="6" s="1"/>
  <c r="V101" i="6" s="1"/>
  <c r="C103" i="3" l="1"/>
  <c r="Q102" i="6"/>
  <c r="R102" i="6"/>
  <c r="U102" i="6" s="1"/>
  <c r="V102" i="6" s="1"/>
  <c r="C104" i="3" l="1"/>
  <c r="Q103" i="6"/>
  <c r="R103" i="6"/>
  <c r="U103" i="6" s="1"/>
  <c r="V103" i="6" s="1"/>
  <c r="C105" i="3" l="1"/>
  <c r="Q104" i="6"/>
  <c r="R104" i="6"/>
  <c r="U104" i="6" s="1"/>
  <c r="V104" i="6" s="1"/>
  <c r="C106" i="3" l="1"/>
  <c r="Q105" i="6"/>
  <c r="R105" i="6"/>
  <c r="U105" i="6" s="1"/>
  <c r="V105" i="6" s="1"/>
  <c r="C107" i="3" l="1"/>
  <c r="Q106" i="6"/>
  <c r="R106" i="6"/>
  <c r="U106" i="6" s="1"/>
  <c r="V106" i="6" s="1"/>
  <c r="C108" i="3" l="1"/>
  <c r="Q107" i="6"/>
  <c r="R107" i="6"/>
  <c r="U107" i="6" s="1"/>
  <c r="V107" i="6" s="1"/>
  <c r="C109" i="3" l="1"/>
  <c r="Q108" i="6"/>
  <c r="R108" i="6"/>
  <c r="U108" i="6" s="1"/>
  <c r="V108" i="6" s="1"/>
  <c r="C110" i="3" l="1"/>
  <c r="Q109" i="6"/>
  <c r="R109" i="6"/>
  <c r="U109" i="6" s="1"/>
  <c r="V109" i="6" s="1"/>
  <c r="C111" i="3" l="1"/>
  <c r="Q110" i="6"/>
  <c r="R110" i="6"/>
  <c r="U110" i="6" s="1"/>
  <c r="V110" i="6" s="1"/>
  <c r="C112" i="3" l="1"/>
  <c r="Q111" i="6"/>
  <c r="R111" i="6"/>
  <c r="U111" i="6" s="1"/>
  <c r="V111" i="6" s="1"/>
  <c r="C113" i="3" l="1"/>
  <c r="Q112" i="6"/>
  <c r="R112" i="6"/>
  <c r="U112" i="6" s="1"/>
  <c r="V112" i="6" s="1"/>
  <c r="C114" i="3" l="1"/>
  <c r="Q113" i="6"/>
  <c r="R113" i="6"/>
  <c r="U113" i="6" s="1"/>
  <c r="V113" i="6" s="1"/>
  <c r="C115" i="3" l="1"/>
  <c r="Q114" i="6"/>
  <c r="R114" i="6"/>
  <c r="U114" i="6" s="1"/>
  <c r="V114" i="6" s="1"/>
  <c r="C116" i="3" l="1"/>
  <c r="Q115" i="6"/>
  <c r="R115" i="6"/>
  <c r="U115" i="6" s="1"/>
  <c r="V115" i="6" s="1"/>
  <c r="C117" i="3" l="1"/>
  <c r="Q116" i="6"/>
  <c r="R116" i="6"/>
  <c r="U116" i="6" s="1"/>
  <c r="V116" i="6" s="1"/>
  <c r="C118" i="3" l="1"/>
  <c r="Q117" i="6"/>
  <c r="R117" i="6"/>
  <c r="U117" i="6" s="1"/>
  <c r="V117" i="6" s="1"/>
  <c r="C119" i="3" l="1"/>
  <c r="Q118" i="6"/>
  <c r="R118" i="6"/>
  <c r="U118" i="6" s="1"/>
  <c r="V118" i="6" s="1"/>
  <c r="C120" i="3" l="1"/>
  <c r="Q119" i="6"/>
  <c r="R119" i="6"/>
  <c r="U119" i="6" s="1"/>
  <c r="V119" i="6" s="1"/>
  <c r="C121" i="3" l="1"/>
  <c r="Q120" i="6"/>
  <c r="R120" i="6"/>
  <c r="U120" i="6" s="1"/>
  <c r="V120" i="6" s="1"/>
  <c r="C122" i="3" l="1"/>
  <c r="Q121" i="6"/>
  <c r="R121" i="6"/>
  <c r="U121" i="6" s="1"/>
  <c r="V121" i="6" s="1"/>
  <c r="C123" i="3" l="1"/>
  <c r="Q122" i="6"/>
  <c r="R122" i="6"/>
  <c r="U122" i="6" s="1"/>
  <c r="V122" i="6" s="1"/>
  <c r="C124" i="3" l="1"/>
  <c r="Q123" i="6"/>
  <c r="R123" i="6"/>
  <c r="U123" i="6" s="1"/>
  <c r="V123" i="6" s="1"/>
  <c r="C125" i="3" l="1"/>
  <c r="Q124" i="6"/>
  <c r="R124" i="6"/>
  <c r="U124" i="6" s="1"/>
  <c r="V124" i="6" s="1"/>
  <c r="C126" i="3" l="1"/>
  <c r="Q125" i="6"/>
  <c r="R125" i="6"/>
  <c r="U125" i="6" s="1"/>
  <c r="V125" i="6" s="1"/>
  <c r="C127" i="3" l="1"/>
  <c r="Q126" i="6"/>
  <c r="R126" i="6"/>
  <c r="U126" i="6" s="1"/>
  <c r="V126" i="6" s="1"/>
  <c r="C128" i="3" l="1"/>
  <c r="Q127" i="6"/>
  <c r="R127" i="6"/>
  <c r="U127" i="6" s="1"/>
  <c r="V127" i="6" s="1"/>
  <c r="C129" i="3" l="1"/>
  <c r="Q128" i="6"/>
  <c r="R128" i="6"/>
  <c r="U128" i="6" s="1"/>
  <c r="V128" i="6" s="1"/>
  <c r="C130" i="3" l="1"/>
  <c r="Q129" i="6"/>
  <c r="R129" i="6"/>
  <c r="U129" i="6" s="1"/>
  <c r="V129" i="6" s="1"/>
  <c r="C131" i="3" l="1"/>
  <c r="Q130" i="6"/>
  <c r="R130" i="6"/>
  <c r="U130" i="6" s="1"/>
  <c r="V130" i="6" s="1"/>
  <c r="C132" i="3" l="1"/>
  <c r="Q131" i="6"/>
  <c r="R131" i="6"/>
  <c r="U131" i="6" s="1"/>
  <c r="V131" i="6" s="1"/>
  <c r="C133" i="3" l="1"/>
  <c r="Q132" i="6"/>
  <c r="R132" i="6"/>
  <c r="U132" i="6" s="1"/>
  <c r="V132" i="6" s="1"/>
  <c r="Q133" i="6" l="1"/>
  <c r="R133" i="6"/>
  <c r="U133" i="6" s="1"/>
  <c r="V133" i="6" s="1"/>
  <c r="C134" i="3"/>
  <c r="Q134" i="6" l="1"/>
  <c r="R134" i="6"/>
  <c r="U134" i="6" s="1"/>
  <c r="V134" i="6" s="1"/>
  <c r="C135" i="3"/>
  <c r="Q135" i="6" l="1"/>
  <c r="R135" i="6"/>
  <c r="U135" i="6" s="1"/>
  <c r="V135" i="6" s="1"/>
  <c r="C136" i="3"/>
  <c r="G135" i="6" s="1"/>
  <c r="D136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89" i="3"/>
  <c r="D90" i="3"/>
  <c r="D91" i="3"/>
  <c r="D92" i="3"/>
  <c r="D93" i="3"/>
  <c r="D94" i="3"/>
  <c r="D95" i="3"/>
  <c r="D96" i="3"/>
  <c r="D97" i="3"/>
  <c r="D98" i="3"/>
  <c r="D99" i="3"/>
  <c r="D100" i="3"/>
  <c r="D101" i="3"/>
  <c r="D102" i="3"/>
  <c r="D103" i="3"/>
  <c r="D104" i="3"/>
  <c r="D105" i="3"/>
  <c r="D106" i="3"/>
  <c r="D107" i="3"/>
  <c r="D108" i="3"/>
  <c r="D109" i="3"/>
  <c r="D110" i="3"/>
  <c r="D111" i="3"/>
  <c r="D112" i="3"/>
  <c r="D113" i="3"/>
  <c r="D114" i="3"/>
  <c r="D115" i="3"/>
  <c r="D116" i="3"/>
  <c r="D117" i="3"/>
  <c r="D118" i="3"/>
  <c r="D119" i="3"/>
  <c r="D120" i="3"/>
  <c r="D121" i="3"/>
  <c r="D122" i="3"/>
  <c r="D123" i="3"/>
  <c r="D124" i="3"/>
  <c r="D125" i="3"/>
  <c r="D126" i="3"/>
  <c r="D127" i="3"/>
  <c r="D128" i="3"/>
  <c r="D129" i="3"/>
  <c r="D130" i="3"/>
  <c r="D131" i="3"/>
  <c r="D132" i="3"/>
  <c r="D133" i="3"/>
  <c r="D134" i="3"/>
  <c r="D135" i="3"/>
  <c r="Q136" i="6" l="1"/>
  <c r="G136" i="6"/>
  <c r="H136" i="6" s="1"/>
  <c r="R136" i="6"/>
  <c r="U136" i="6" s="1"/>
  <c r="V136" i="6" s="1"/>
  <c r="P9" i="6" s="1"/>
  <c r="H30" i="3"/>
  <c r="E136" i="3" s="1"/>
  <c r="G18" i="6"/>
  <c r="H18" i="6" s="1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64" i="6"/>
  <c r="G65" i="6"/>
  <c r="G66" i="6"/>
  <c r="G67" i="6"/>
  <c r="G68" i="6"/>
  <c r="G69" i="6"/>
  <c r="G70" i="6"/>
  <c r="G71" i="6"/>
  <c r="G72" i="6"/>
  <c r="G73" i="6"/>
  <c r="G74" i="6"/>
  <c r="G75" i="6"/>
  <c r="G76" i="6"/>
  <c r="G77" i="6"/>
  <c r="G78" i="6"/>
  <c r="G79" i="6"/>
  <c r="G80" i="6"/>
  <c r="G81" i="6"/>
  <c r="G82" i="6"/>
  <c r="G83" i="6"/>
  <c r="G84" i="6"/>
  <c r="G85" i="6"/>
  <c r="G86" i="6"/>
  <c r="G87" i="6"/>
  <c r="G88" i="6"/>
  <c r="G89" i="6"/>
  <c r="G90" i="6"/>
  <c r="G91" i="6"/>
  <c r="G92" i="6"/>
  <c r="G93" i="6"/>
  <c r="G94" i="6"/>
  <c r="G95" i="6"/>
  <c r="G96" i="6"/>
  <c r="G97" i="6"/>
  <c r="G98" i="6"/>
  <c r="G99" i="6"/>
  <c r="G100" i="6"/>
  <c r="G101" i="6"/>
  <c r="G102" i="6"/>
  <c r="G103" i="6"/>
  <c r="G104" i="6"/>
  <c r="G105" i="6"/>
  <c r="G106" i="6"/>
  <c r="G107" i="6"/>
  <c r="G108" i="6"/>
  <c r="G109" i="6"/>
  <c r="G110" i="6"/>
  <c r="G111" i="6"/>
  <c r="G112" i="6"/>
  <c r="G113" i="6"/>
  <c r="G114" i="6"/>
  <c r="G115" i="6"/>
  <c r="G116" i="6"/>
  <c r="G117" i="6"/>
  <c r="G118" i="6"/>
  <c r="G119" i="6"/>
  <c r="G120" i="6"/>
  <c r="G121" i="6"/>
  <c r="G122" i="6"/>
  <c r="G123" i="6"/>
  <c r="G124" i="6"/>
  <c r="G125" i="6"/>
  <c r="G126" i="6"/>
  <c r="G127" i="6"/>
  <c r="G128" i="6"/>
  <c r="G129" i="6"/>
  <c r="G130" i="6"/>
  <c r="G131" i="6"/>
  <c r="G132" i="6"/>
  <c r="G133" i="6"/>
  <c r="G134" i="6"/>
  <c r="H133" i="6" l="1"/>
  <c r="H131" i="6"/>
  <c r="H129" i="6"/>
  <c r="H127" i="6"/>
  <c r="H125" i="6"/>
  <c r="H123" i="6"/>
  <c r="H121" i="6"/>
  <c r="H119" i="6"/>
  <c r="H117" i="6"/>
  <c r="H115" i="6"/>
  <c r="H113" i="6"/>
  <c r="H111" i="6"/>
  <c r="H109" i="6"/>
  <c r="H107" i="6"/>
  <c r="H105" i="6"/>
  <c r="H103" i="6"/>
  <c r="H101" i="6"/>
  <c r="H99" i="6"/>
  <c r="H97" i="6"/>
  <c r="H95" i="6"/>
  <c r="H93" i="6"/>
  <c r="H91" i="6"/>
  <c r="H89" i="6"/>
  <c r="H87" i="6"/>
  <c r="H85" i="6"/>
  <c r="H83" i="6"/>
  <c r="H81" i="6"/>
  <c r="H79" i="6"/>
  <c r="H77" i="6"/>
  <c r="H75" i="6"/>
  <c r="H73" i="6"/>
  <c r="H71" i="6"/>
  <c r="H69" i="6"/>
  <c r="H67" i="6"/>
  <c r="H65" i="6"/>
  <c r="H63" i="6"/>
  <c r="H61" i="6"/>
  <c r="H59" i="6"/>
  <c r="H57" i="6"/>
  <c r="H55" i="6"/>
  <c r="H53" i="6"/>
  <c r="H51" i="6"/>
  <c r="H49" i="6"/>
  <c r="H47" i="6"/>
  <c r="H45" i="6"/>
  <c r="H43" i="6"/>
  <c r="H41" i="6"/>
  <c r="H39" i="6"/>
  <c r="H37" i="6"/>
  <c r="H35" i="6"/>
  <c r="H33" i="6"/>
  <c r="H31" i="6"/>
  <c r="H29" i="6"/>
  <c r="H27" i="6"/>
  <c r="H25" i="6"/>
  <c r="H23" i="6"/>
  <c r="H21" i="6"/>
  <c r="H19" i="6"/>
  <c r="H134" i="6"/>
  <c r="H132" i="6"/>
  <c r="H130" i="6"/>
  <c r="H128" i="6"/>
  <c r="H126" i="6"/>
  <c r="H124" i="6"/>
  <c r="H122" i="6"/>
  <c r="H120" i="6"/>
  <c r="H118" i="6"/>
  <c r="H116" i="6"/>
  <c r="H114" i="6"/>
  <c r="H112" i="6"/>
  <c r="H110" i="6"/>
  <c r="H108" i="6"/>
  <c r="H106" i="6"/>
  <c r="H104" i="6"/>
  <c r="H102" i="6"/>
  <c r="H100" i="6"/>
  <c r="H98" i="6"/>
  <c r="H96" i="6"/>
  <c r="H94" i="6"/>
  <c r="H92" i="6"/>
  <c r="H90" i="6"/>
  <c r="H88" i="6"/>
  <c r="H86" i="6"/>
  <c r="H84" i="6"/>
  <c r="H82" i="6"/>
  <c r="H80" i="6"/>
  <c r="H78" i="6"/>
  <c r="H76" i="6"/>
  <c r="H74" i="6"/>
  <c r="H72" i="6"/>
  <c r="H70" i="6"/>
  <c r="H68" i="6"/>
  <c r="H66" i="6"/>
  <c r="H64" i="6"/>
  <c r="H62" i="6"/>
  <c r="H60" i="6"/>
  <c r="H58" i="6"/>
  <c r="H56" i="6"/>
  <c r="H54" i="6"/>
  <c r="H52" i="6"/>
  <c r="H50" i="6"/>
  <c r="H48" i="6"/>
  <c r="H46" i="6"/>
  <c r="H44" i="6"/>
  <c r="H42" i="6"/>
  <c r="H40" i="6"/>
  <c r="H38" i="6"/>
  <c r="H36" i="6"/>
  <c r="H34" i="6"/>
  <c r="H32" i="6"/>
  <c r="H30" i="6"/>
  <c r="H28" i="6"/>
  <c r="H26" i="6"/>
  <c r="H24" i="6"/>
  <c r="H22" i="6"/>
  <c r="H20" i="6"/>
  <c r="AO27" i="6"/>
  <c r="AP27" i="6" s="1"/>
  <c r="C18" i="6"/>
  <c r="D18" i="6"/>
  <c r="C20" i="6"/>
  <c r="D20" i="6"/>
  <c r="D23" i="6"/>
  <c r="C23" i="6"/>
  <c r="C24" i="6"/>
  <c r="D24" i="6"/>
  <c r="D25" i="6"/>
  <c r="C25" i="6"/>
  <c r="C26" i="6"/>
  <c r="D26" i="6"/>
  <c r="D27" i="6"/>
  <c r="C27" i="6"/>
  <c r="C28" i="6"/>
  <c r="D28" i="6"/>
  <c r="D29" i="6"/>
  <c r="C29" i="6"/>
  <c r="AO25" i="6"/>
  <c r="D30" i="6"/>
  <c r="C30" i="6"/>
  <c r="D31" i="6"/>
  <c r="C31" i="6"/>
  <c r="D32" i="6"/>
  <c r="C32" i="6"/>
  <c r="D33" i="6"/>
  <c r="C33" i="6"/>
  <c r="D34" i="6"/>
  <c r="C34" i="6"/>
  <c r="D72" i="6"/>
  <c r="C72" i="6"/>
  <c r="D73" i="6"/>
  <c r="C73" i="6"/>
  <c r="AO18" i="6"/>
  <c r="D74" i="6"/>
  <c r="C74" i="6"/>
  <c r="D75" i="6"/>
  <c r="C75" i="6"/>
  <c r="D76" i="6"/>
  <c r="C76" i="6"/>
  <c r="D77" i="6"/>
  <c r="C77" i="6"/>
  <c r="D78" i="6"/>
  <c r="C78" i="6"/>
  <c r="D79" i="6"/>
  <c r="C79" i="6"/>
  <c r="D80" i="6"/>
  <c r="C80" i="6"/>
  <c r="D81" i="6"/>
  <c r="C81" i="6"/>
  <c r="AO17" i="6"/>
  <c r="C82" i="6"/>
  <c r="D82" i="6"/>
  <c r="C83" i="6"/>
  <c r="D83" i="6"/>
  <c r="C84" i="6"/>
  <c r="D84" i="6"/>
  <c r="C85" i="6"/>
  <c r="D85" i="6"/>
  <c r="C86" i="6"/>
  <c r="D86" i="6"/>
  <c r="C87" i="6"/>
  <c r="D87" i="6"/>
  <c r="C88" i="6"/>
  <c r="D88" i="6"/>
  <c r="C89" i="6"/>
  <c r="D89" i="6"/>
  <c r="C90" i="6"/>
  <c r="D90" i="6"/>
  <c r="C91" i="6"/>
  <c r="D91" i="6"/>
  <c r="AO16" i="6"/>
  <c r="C95" i="6"/>
  <c r="D95" i="6"/>
  <c r="AO15" i="6"/>
  <c r="C98" i="6"/>
  <c r="D98" i="6"/>
  <c r="C99" i="6"/>
  <c r="D99" i="6"/>
  <c r="AO14" i="6"/>
  <c r="C100" i="6"/>
  <c r="D100" i="6"/>
  <c r="C101" i="6"/>
  <c r="D101" i="6"/>
  <c r="C130" i="6"/>
  <c r="D130" i="6"/>
  <c r="H135" i="6"/>
  <c r="D65" i="6"/>
  <c r="C65" i="6"/>
  <c r="D66" i="6"/>
  <c r="C66" i="6"/>
  <c r="D67" i="6"/>
  <c r="C67" i="6"/>
  <c r="D69" i="6"/>
  <c r="C69" i="6"/>
  <c r="D70" i="6"/>
  <c r="C70" i="6"/>
  <c r="D71" i="6"/>
  <c r="C71" i="6"/>
  <c r="C93" i="6"/>
  <c r="D93" i="6"/>
  <c r="C94" i="6"/>
  <c r="D94" i="6"/>
  <c r="C96" i="6"/>
  <c r="D96" i="6"/>
  <c r="C97" i="6"/>
  <c r="D97" i="6"/>
  <c r="C102" i="6"/>
  <c r="D102" i="6"/>
  <c r="C104" i="6"/>
  <c r="D104" i="6"/>
  <c r="C105" i="6"/>
  <c r="D105" i="6"/>
  <c r="C107" i="6"/>
  <c r="D107" i="6"/>
  <c r="AO13" i="6"/>
  <c r="AP13" i="6" s="1"/>
  <c r="C108" i="6"/>
  <c r="D108" i="6"/>
  <c r="C110" i="6"/>
  <c r="D110" i="6"/>
  <c r="C111" i="6"/>
  <c r="D111" i="6"/>
  <c r="C113" i="6"/>
  <c r="D113" i="6"/>
  <c r="C114" i="6"/>
  <c r="D114" i="6"/>
  <c r="C116" i="6"/>
  <c r="D116" i="6"/>
  <c r="C117" i="6"/>
  <c r="D117" i="6"/>
  <c r="AO12" i="6"/>
  <c r="C119" i="6"/>
  <c r="D119" i="6"/>
  <c r="C120" i="6"/>
  <c r="D120" i="6"/>
  <c r="AO11" i="6"/>
  <c r="C122" i="6"/>
  <c r="D122" i="6"/>
  <c r="C124" i="6"/>
  <c r="D124" i="6"/>
  <c r="C126" i="6"/>
  <c r="D126" i="6"/>
  <c r="C127" i="6"/>
  <c r="D127" i="6"/>
  <c r="C129" i="6"/>
  <c r="D129" i="6"/>
  <c r="C132" i="6"/>
  <c r="D132" i="6"/>
  <c r="C133" i="6"/>
  <c r="D133" i="6"/>
  <c r="AO9" i="6"/>
  <c r="C135" i="6"/>
  <c r="D135" i="6"/>
  <c r="AO8" i="6"/>
  <c r="C136" i="6"/>
  <c r="D136" i="6"/>
  <c r="D44" i="6"/>
  <c r="C44" i="6"/>
  <c r="D68" i="6"/>
  <c r="C68" i="6"/>
  <c r="AO19" i="6"/>
  <c r="C92" i="6"/>
  <c r="D92" i="6"/>
  <c r="C103" i="6"/>
  <c r="D103" i="6"/>
  <c r="C106" i="6"/>
  <c r="D106" i="6"/>
  <c r="C109" i="6"/>
  <c r="D109" i="6"/>
  <c r="C112" i="6"/>
  <c r="D112" i="6"/>
  <c r="C115" i="6"/>
  <c r="D115" i="6"/>
  <c r="C118" i="6"/>
  <c r="D118" i="6"/>
  <c r="C121" i="6"/>
  <c r="D121" i="6"/>
  <c r="C123" i="6"/>
  <c r="D123" i="6"/>
  <c r="C125" i="6"/>
  <c r="D125" i="6"/>
  <c r="AO10" i="6"/>
  <c r="AP10" i="6" s="1"/>
  <c r="C128" i="6"/>
  <c r="D128" i="6"/>
  <c r="C131" i="6"/>
  <c r="D131" i="6"/>
  <c r="C134" i="6"/>
  <c r="D134" i="6"/>
  <c r="K30" i="3"/>
  <c r="M10" i="3" s="1"/>
  <c r="P10" i="6" s="1"/>
  <c r="K133" i="6" s="1"/>
  <c r="J30" i="3"/>
  <c r="L30" i="3" s="1"/>
  <c r="M11" i="3" s="1"/>
  <c r="P11" i="6" s="1"/>
  <c r="E18" i="3"/>
  <c r="F18" i="3" s="1"/>
  <c r="J18" i="6" s="1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O4" i="5"/>
  <c r="O4" i="4"/>
  <c r="M9" i="3"/>
  <c r="K50" i="6"/>
  <c r="D19" i="6"/>
  <c r="C19" i="6"/>
  <c r="D21" i="6"/>
  <c r="C21" i="6"/>
  <c r="C22" i="6"/>
  <c r="AO26" i="6"/>
  <c r="D22" i="6"/>
  <c r="D35" i="6"/>
  <c r="C35" i="6"/>
  <c r="D36" i="6"/>
  <c r="C36" i="6"/>
  <c r="D37" i="6"/>
  <c r="C37" i="6"/>
  <c r="D38" i="6"/>
  <c r="C38" i="6"/>
  <c r="D39" i="6"/>
  <c r="C39" i="6"/>
  <c r="AO24" i="6"/>
  <c r="D40" i="6"/>
  <c r="C40" i="6"/>
  <c r="D41" i="6"/>
  <c r="C41" i="6"/>
  <c r="D42" i="6"/>
  <c r="C42" i="6"/>
  <c r="AO23" i="6"/>
  <c r="D43" i="6"/>
  <c r="C43" i="6"/>
  <c r="D45" i="6"/>
  <c r="C45" i="6"/>
  <c r="D46" i="6"/>
  <c r="C46" i="6"/>
  <c r="D47" i="6"/>
  <c r="C47" i="6"/>
  <c r="AO22" i="6"/>
  <c r="D48" i="6"/>
  <c r="C48" i="6"/>
  <c r="D49" i="6"/>
  <c r="C49" i="6"/>
  <c r="D50" i="6"/>
  <c r="C50" i="6"/>
  <c r="D51" i="6"/>
  <c r="C51" i="6"/>
  <c r="D52" i="6"/>
  <c r="C52" i="6"/>
  <c r="D53" i="6"/>
  <c r="C53" i="6"/>
  <c r="D54" i="6"/>
  <c r="C54" i="6"/>
  <c r="D55" i="6"/>
  <c r="C55" i="6"/>
  <c r="AO21" i="6"/>
  <c r="D56" i="6"/>
  <c r="C56" i="6"/>
  <c r="D57" i="6"/>
  <c r="C57" i="6"/>
  <c r="D58" i="6"/>
  <c r="C58" i="6"/>
  <c r="D59" i="6"/>
  <c r="C59" i="6"/>
  <c r="D60" i="6"/>
  <c r="C60" i="6"/>
  <c r="D61" i="6"/>
  <c r="C61" i="6"/>
  <c r="D62" i="6"/>
  <c r="C62" i="6"/>
  <c r="D63" i="6"/>
  <c r="C63" i="6"/>
  <c r="D64" i="6"/>
  <c r="C64" i="6"/>
  <c r="AO20" i="6"/>
  <c r="K119" i="6" l="1"/>
  <c r="K118" i="6"/>
  <c r="K66" i="6"/>
  <c r="K71" i="6"/>
  <c r="K64" i="6"/>
  <c r="K35" i="6"/>
  <c r="K98" i="6"/>
  <c r="K59" i="6"/>
  <c r="K96" i="6"/>
  <c r="K134" i="6"/>
  <c r="K93" i="6"/>
  <c r="K28" i="6"/>
  <c r="K95" i="6"/>
  <c r="AP26" i="6"/>
  <c r="K48" i="6"/>
  <c r="K82" i="6"/>
  <c r="K20" i="6"/>
  <c r="K27" i="6"/>
  <c r="K37" i="6"/>
  <c r="K80" i="6"/>
  <c r="K110" i="6"/>
  <c r="K126" i="6"/>
  <c r="K49" i="6"/>
  <c r="K81" i="6"/>
  <c r="K107" i="6"/>
  <c r="K131" i="6"/>
  <c r="K38" i="6"/>
  <c r="K65" i="6"/>
  <c r="K117" i="6"/>
  <c r="K45" i="6"/>
  <c r="K58" i="6"/>
  <c r="K74" i="6"/>
  <c r="K90" i="6"/>
  <c r="K106" i="6"/>
  <c r="K26" i="6"/>
  <c r="K19" i="6"/>
  <c r="K51" i="6"/>
  <c r="K67" i="6"/>
  <c r="K56" i="6"/>
  <c r="K72" i="6"/>
  <c r="K88" i="6"/>
  <c r="K104" i="6"/>
  <c r="K114" i="6"/>
  <c r="K122" i="6"/>
  <c r="K130" i="6"/>
  <c r="K21" i="6"/>
  <c r="K61" i="6"/>
  <c r="K75" i="6"/>
  <c r="K87" i="6"/>
  <c r="K99" i="6"/>
  <c r="K113" i="6"/>
  <c r="K125" i="6"/>
  <c r="K34" i="6"/>
  <c r="K32" i="6"/>
  <c r="K44" i="6"/>
  <c r="K43" i="6"/>
  <c r="K83" i="6"/>
  <c r="K105" i="6"/>
  <c r="K127" i="6"/>
  <c r="AP20" i="6"/>
  <c r="S64" i="6"/>
  <c r="W64" i="6" s="1"/>
  <c r="S63" i="6"/>
  <c r="W63" i="6" s="1"/>
  <c r="AP22" i="6"/>
  <c r="AP24" i="6"/>
  <c r="K33" i="6"/>
  <c r="K22" i="6"/>
  <c r="K54" i="6"/>
  <c r="K62" i="6"/>
  <c r="K70" i="6"/>
  <c r="K78" i="6"/>
  <c r="K86" i="6"/>
  <c r="K94" i="6"/>
  <c r="K102" i="6"/>
  <c r="K18" i="6"/>
  <c r="K24" i="6"/>
  <c r="K46" i="6"/>
  <c r="K52" i="6"/>
  <c r="K23" i="6"/>
  <c r="K47" i="6"/>
  <c r="K55" i="6"/>
  <c r="K63" i="6"/>
  <c r="K29" i="6"/>
  <c r="K41" i="6"/>
  <c r="K60" i="6"/>
  <c r="K68" i="6"/>
  <c r="K76" i="6"/>
  <c r="K84" i="6"/>
  <c r="K92" i="6"/>
  <c r="K100" i="6"/>
  <c r="K108" i="6"/>
  <c r="K112" i="6"/>
  <c r="K116" i="6"/>
  <c r="K120" i="6"/>
  <c r="K124" i="6"/>
  <c r="K128" i="6"/>
  <c r="K132" i="6"/>
  <c r="K136" i="6"/>
  <c r="K25" i="6"/>
  <c r="K53" i="6"/>
  <c r="K69" i="6"/>
  <c r="K73" i="6"/>
  <c r="K79" i="6"/>
  <c r="K85" i="6"/>
  <c r="K91" i="6"/>
  <c r="K97" i="6"/>
  <c r="K103" i="6"/>
  <c r="K109" i="6"/>
  <c r="K115" i="6"/>
  <c r="K121" i="6"/>
  <c r="K129" i="6"/>
  <c r="K135" i="6"/>
  <c r="K42" i="6"/>
  <c r="K30" i="6"/>
  <c r="K36" i="6"/>
  <c r="K40" i="6"/>
  <c r="K31" i="6"/>
  <c r="K39" i="6"/>
  <c r="K57" i="6"/>
  <c r="K77" i="6"/>
  <c r="K89" i="6"/>
  <c r="K101" i="6"/>
  <c r="K111" i="6"/>
  <c r="K123" i="6"/>
  <c r="F135" i="3"/>
  <c r="J135" i="6" s="1"/>
  <c r="F133" i="3"/>
  <c r="J133" i="6" s="1"/>
  <c r="F131" i="3"/>
  <c r="J131" i="6" s="1"/>
  <c r="F129" i="3"/>
  <c r="J129" i="6" s="1"/>
  <c r="F127" i="3"/>
  <c r="J127" i="6" s="1"/>
  <c r="F125" i="3"/>
  <c r="J125" i="6" s="1"/>
  <c r="F123" i="3"/>
  <c r="J123" i="6" s="1"/>
  <c r="F121" i="3"/>
  <c r="J121" i="6" s="1"/>
  <c r="F119" i="3"/>
  <c r="J119" i="6" s="1"/>
  <c r="F117" i="3"/>
  <c r="J117" i="6" s="1"/>
  <c r="F115" i="3"/>
  <c r="J115" i="6" s="1"/>
  <c r="F113" i="3"/>
  <c r="J113" i="6" s="1"/>
  <c r="F111" i="3"/>
  <c r="J111" i="6" s="1"/>
  <c r="F109" i="3"/>
  <c r="J109" i="6" s="1"/>
  <c r="F107" i="3"/>
  <c r="J107" i="6" s="1"/>
  <c r="F105" i="3"/>
  <c r="J105" i="6" s="1"/>
  <c r="F103" i="3"/>
  <c r="J103" i="6" s="1"/>
  <c r="F101" i="3"/>
  <c r="J101" i="6" s="1"/>
  <c r="F99" i="3"/>
  <c r="J99" i="6" s="1"/>
  <c r="F97" i="3"/>
  <c r="J97" i="6" s="1"/>
  <c r="F95" i="3"/>
  <c r="J95" i="6" s="1"/>
  <c r="F93" i="3"/>
  <c r="J93" i="6" s="1"/>
  <c r="F91" i="3"/>
  <c r="J91" i="6" s="1"/>
  <c r="F89" i="3"/>
  <c r="J89" i="6" s="1"/>
  <c r="F87" i="3"/>
  <c r="J87" i="6" s="1"/>
  <c r="F85" i="3"/>
  <c r="J85" i="6" s="1"/>
  <c r="F83" i="3"/>
  <c r="J83" i="6" s="1"/>
  <c r="F81" i="3"/>
  <c r="J81" i="6" s="1"/>
  <c r="F79" i="3"/>
  <c r="J79" i="6" s="1"/>
  <c r="F77" i="3"/>
  <c r="J77" i="6" s="1"/>
  <c r="F75" i="3"/>
  <c r="J75" i="6" s="1"/>
  <c r="F73" i="3"/>
  <c r="J73" i="6" s="1"/>
  <c r="F71" i="3"/>
  <c r="J71" i="6" s="1"/>
  <c r="F69" i="3"/>
  <c r="J69" i="6" s="1"/>
  <c r="F67" i="3"/>
  <c r="J67" i="6" s="1"/>
  <c r="F65" i="3"/>
  <c r="J65" i="6" s="1"/>
  <c r="F63" i="3"/>
  <c r="J63" i="6" s="1"/>
  <c r="F61" i="3"/>
  <c r="J61" i="6" s="1"/>
  <c r="F59" i="3"/>
  <c r="J59" i="6" s="1"/>
  <c r="F57" i="3"/>
  <c r="J57" i="6" s="1"/>
  <c r="F55" i="3"/>
  <c r="J55" i="6" s="1"/>
  <c r="F53" i="3"/>
  <c r="J53" i="6" s="1"/>
  <c r="F51" i="3"/>
  <c r="J51" i="6" s="1"/>
  <c r="F49" i="3"/>
  <c r="J49" i="6" s="1"/>
  <c r="F47" i="3"/>
  <c r="J47" i="6" s="1"/>
  <c r="F45" i="3"/>
  <c r="J45" i="6" s="1"/>
  <c r="F43" i="3"/>
  <c r="J43" i="6" s="1"/>
  <c r="F41" i="3"/>
  <c r="J41" i="6" s="1"/>
  <c r="F39" i="3"/>
  <c r="J39" i="6" s="1"/>
  <c r="F37" i="3"/>
  <c r="J37" i="6" s="1"/>
  <c r="F35" i="3"/>
  <c r="J35" i="6" s="1"/>
  <c r="F33" i="3"/>
  <c r="J33" i="6" s="1"/>
  <c r="F31" i="3"/>
  <c r="J31" i="6" s="1"/>
  <c r="F29" i="3"/>
  <c r="J29" i="6" s="1"/>
  <c r="F27" i="3"/>
  <c r="J27" i="6" s="1"/>
  <c r="F25" i="3"/>
  <c r="J25" i="6" s="1"/>
  <c r="F23" i="3"/>
  <c r="J23" i="6" s="1"/>
  <c r="F21" i="3"/>
  <c r="J21" i="6" s="1"/>
  <c r="F19" i="3"/>
  <c r="J19" i="6" s="1"/>
  <c r="AP11" i="6"/>
  <c r="AP14" i="6"/>
  <c r="AP16" i="6"/>
  <c r="S61" i="6"/>
  <c r="W61" i="6" s="1"/>
  <c r="S59" i="6"/>
  <c r="W59" i="6" s="1"/>
  <c r="S57" i="6"/>
  <c r="W57" i="6" s="1"/>
  <c r="S47" i="6"/>
  <c r="W47" i="6" s="1"/>
  <c r="S45" i="6"/>
  <c r="W45" i="6" s="1"/>
  <c r="S38" i="6"/>
  <c r="W38" i="6" s="1"/>
  <c r="S35" i="6"/>
  <c r="W35" i="6" s="1"/>
  <c r="O6" i="5"/>
  <c r="O6" i="4"/>
  <c r="S134" i="6"/>
  <c r="W134" i="6" s="1"/>
  <c r="S131" i="6"/>
  <c r="W131" i="6" s="1"/>
  <c r="S128" i="6"/>
  <c r="W128" i="6" s="1"/>
  <c r="S136" i="6"/>
  <c r="W136" i="6" s="1"/>
  <c r="AP8" i="6"/>
  <c r="AP7" i="6"/>
  <c r="S133" i="6"/>
  <c r="W133" i="6" s="1"/>
  <c r="S132" i="6"/>
  <c r="W132" i="6" s="1"/>
  <c r="S129" i="6"/>
  <c r="W129" i="6" s="1"/>
  <c r="S127" i="6"/>
  <c r="W127" i="6" s="1"/>
  <c r="S126" i="6"/>
  <c r="W126" i="6" s="1"/>
  <c r="S124" i="6"/>
  <c r="W124" i="6" s="1"/>
  <c r="S122" i="6"/>
  <c r="W122" i="6" s="1"/>
  <c r="S117" i="6"/>
  <c r="W117" i="6" s="1"/>
  <c r="S116" i="6"/>
  <c r="W116" i="6" s="1"/>
  <c r="S114" i="6"/>
  <c r="W114" i="6" s="1"/>
  <c r="S113" i="6"/>
  <c r="W113" i="6" s="1"/>
  <c r="S111" i="6"/>
  <c r="W111" i="6" s="1"/>
  <c r="S110" i="6"/>
  <c r="W110" i="6" s="1"/>
  <c r="S108" i="6"/>
  <c r="W108" i="6" s="1"/>
  <c r="S71" i="6"/>
  <c r="W71" i="6" s="1"/>
  <c r="S70" i="6"/>
  <c r="W70" i="6" s="1"/>
  <c r="S69" i="6"/>
  <c r="W69" i="6" s="1"/>
  <c r="S67" i="6"/>
  <c r="W67" i="6" s="1"/>
  <c r="S66" i="6"/>
  <c r="W66" i="6" s="1"/>
  <c r="S65" i="6"/>
  <c r="W65" i="6" s="1"/>
  <c r="S130" i="6"/>
  <c r="W130" i="6" s="1"/>
  <c r="S101" i="6"/>
  <c r="W101" i="6" s="1"/>
  <c r="S100" i="6"/>
  <c r="W100" i="6" s="1"/>
  <c r="S95" i="6"/>
  <c r="W95" i="6" s="1"/>
  <c r="AC17" i="6"/>
  <c r="AP18" i="6"/>
  <c r="S73" i="6"/>
  <c r="W73" i="6" s="1"/>
  <c r="S72" i="6"/>
  <c r="W72" i="6" s="1"/>
  <c r="S34" i="6"/>
  <c r="W34" i="6" s="1"/>
  <c r="S33" i="6"/>
  <c r="W33" i="6" s="1"/>
  <c r="S32" i="6"/>
  <c r="W32" i="6" s="1"/>
  <c r="S31" i="6"/>
  <c r="W31" i="6" s="1"/>
  <c r="S30" i="6"/>
  <c r="W30" i="6" s="1"/>
  <c r="S28" i="6"/>
  <c r="W28" i="6" s="1"/>
  <c r="S26" i="6"/>
  <c r="W26" i="6" s="1"/>
  <c r="S24" i="6"/>
  <c r="W24" i="6" s="1"/>
  <c r="S20" i="6"/>
  <c r="W20" i="6" s="1"/>
  <c r="S18" i="6"/>
  <c r="W18" i="6" s="1"/>
  <c r="X18" i="6" s="1"/>
  <c r="S62" i="6"/>
  <c r="W62" i="6" s="1"/>
  <c r="S60" i="6"/>
  <c r="W60" i="6" s="1"/>
  <c r="S58" i="6"/>
  <c r="W58" i="6" s="1"/>
  <c r="S56" i="6"/>
  <c r="W56" i="6" s="1"/>
  <c r="S46" i="6"/>
  <c r="W46" i="6" s="1"/>
  <c r="S43" i="6"/>
  <c r="W43" i="6" s="1"/>
  <c r="S39" i="6"/>
  <c r="W39" i="6" s="1"/>
  <c r="S37" i="6"/>
  <c r="W37" i="6" s="1"/>
  <c r="S36" i="6"/>
  <c r="W36" i="6" s="1"/>
  <c r="AP21" i="6"/>
  <c r="S55" i="6"/>
  <c r="W55" i="6" s="1"/>
  <c r="S54" i="6"/>
  <c r="W54" i="6" s="1"/>
  <c r="S53" i="6"/>
  <c r="W53" i="6" s="1"/>
  <c r="S52" i="6"/>
  <c r="W52" i="6" s="1"/>
  <c r="S51" i="6"/>
  <c r="W51" i="6" s="1"/>
  <c r="S50" i="6"/>
  <c r="W50" i="6" s="1"/>
  <c r="S49" i="6"/>
  <c r="W49" i="6" s="1"/>
  <c r="S48" i="6"/>
  <c r="W48" i="6" s="1"/>
  <c r="AP23" i="6"/>
  <c r="S42" i="6"/>
  <c r="W42" i="6" s="1"/>
  <c r="S41" i="6"/>
  <c r="W41" i="6" s="1"/>
  <c r="S40" i="6"/>
  <c r="W40" i="6" s="1"/>
  <c r="S22" i="6"/>
  <c r="W22" i="6" s="1"/>
  <c r="S21" i="6"/>
  <c r="W21" i="6" s="1"/>
  <c r="S19" i="6"/>
  <c r="W19" i="6" s="1"/>
  <c r="F134" i="3"/>
  <c r="J134" i="6" s="1"/>
  <c r="F132" i="3"/>
  <c r="J132" i="6" s="1"/>
  <c r="F130" i="3"/>
  <c r="J130" i="6" s="1"/>
  <c r="F128" i="3"/>
  <c r="J128" i="6" s="1"/>
  <c r="F126" i="3"/>
  <c r="J126" i="6" s="1"/>
  <c r="F124" i="3"/>
  <c r="J124" i="6" s="1"/>
  <c r="F122" i="3"/>
  <c r="J122" i="6" s="1"/>
  <c r="F120" i="3"/>
  <c r="J120" i="6" s="1"/>
  <c r="F118" i="3"/>
  <c r="J118" i="6" s="1"/>
  <c r="F116" i="3"/>
  <c r="J116" i="6" s="1"/>
  <c r="F114" i="3"/>
  <c r="J114" i="6" s="1"/>
  <c r="F112" i="3"/>
  <c r="J112" i="6" s="1"/>
  <c r="F110" i="3"/>
  <c r="J110" i="6" s="1"/>
  <c r="F108" i="3"/>
  <c r="J108" i="6" s="1"/>
  <c r="F106" i="3"/>
  <c r="J106" i="6" s="1"/>
  <c r="F104" i="3"/>
  <c r="J104" i="6" s="1"/>
  <c r="F102" i="3"/>
  <c r="J102" i="6" s="1"/>
  <c r="F100" i="3"/>
  <c r="J100" i="6" s="1"/>
  <c r="F98" i="3"/>
  <c r="J98" i="6" s="1"/>
  <c r="F96" i="3"/>
  <c r="J96" i="6" s="1"/>
  <c r="F94" i="3"/>
  <c r="J94" i="6" s="1"/>
  <c r="F92" i="3"/>
  <c r="J92" i="6" s="1"/>
  <c r="F90" i="3"/>
  <c r="J90" i="6" s="1"/>
  <c r="F88" i="3"/>
  <c r="J88" i="6" s="1"/>
  <c r="F86" i="3"/>
  <c r="J86" i="6" s="1"/>
  <c r="F84" i="3"/>
  <c r="J84" i="6" s="1"/>
  <c r="F82" i="3"/>
  <c r="J82" i="6" s="1"/>
  <c r="F80" i="3"/>
  <c r="J80" i="6" s="1"/>
  <c r="F78" i="3"/>
  <c r="J78" i="6" s="1"/>
  <c r="F76" i="3"/>
  <c r="J76" i="6" s="1"/>
  <c r="F74" i="3"/>
  <c r="J74" i="6" s="1"/>
  <c r="F72" i="3"/>
  <c r="J72" i="6" s="1"/>
  <c r="F70" i="3"/>
  <c r="J70" i="6" s="1"/>
  <c r="F68" i="3"/>
  <c r="J68" i="6" s="1"/>
  <c r="F66" i="3"/>
  <c r="J66" i="6" s="1"/>
  <c r="F64" i="3"/>
  <c r="J64" i="6" s="1"/>
  <c r="F62" i="3"/>
  <c r="J62" i="6" s="1"/>
  <c r="F60" i="3"/>
  <c r="J60" i="6" s="1"/>
  <c r="F58" i="3"/>
  <c r="J58" i="6" s="1"/>
  <c r="F56" i="3"/>
  <c r="J56" i="6" s="1"/>
  <c r="F54" i="3"/>
  <c r="J54" i="6" s="1"/>
  <c r="F52" i="3"/>
  <c r="J52" i="6" s="1"/>
  <c r="F50" i="3"/>
  <c r="J50" i="6" s="1"/>
  <c r="F48" i="3"/>
  <c r="J48" i="6" s="1"/>
  <c r="F46" i="3"/>
  <c r="J46" i="6" s="1"/>
  <c r="F44" i="3"/>
  <c r="J44" i="6" s="1"/>
  <c r="F42" i="3"/>
  <c r="J42" i="6" s="1"/>
  <c r="F40" i="3"/>
  <c r="J40" i="6" s="1"/>
  <c r="F38" i="3"/>
  <c r="J38" i="6" s="1"/>
  <c r="F36" i="3"/>
  <c r="J36" i="6" s="1"/>
  <c r="F34" i="3"/>
  <c r="J34" i="6" s="1"/>
  <c r="F32" i="3"/>
  <c r="J32" i="6" s="1"/>
  <c r="F30" i="3"/>
  <c r="J30" i="6" s="1"/>
  <c r="F28" i="3"/>
  <c r="J28" i="6" s="1"/>
  <c r="F26" i="3"/>
  <c r="J26" i="6" s="1"/>
  <c r="F24" i="3"/>
  <c r="J24" i="6" s="1"/>
  <c r="F22" i="3"/>
  <c r="J22" i="6" s="1"/>
  <c r="F20" i="3"/>
  <c r="J20" i="6" s="1"/>
  <c r="O5" i="5"/>
  <c r="O5" i="4"/>
  <c r="S125" i="6"/>
  <c r="W125" i="6" s="1"/>
  <c r="S123" i="6"/>
  <c r="W123" i="6" s="1"/>
  <c r="S121" i="6"/>
  <c r="W121" i="6" s="1"/>
  <c r="S118" i="6"/>
  <c r="W118" i="6" s="1"/>
  <c r="S115" i="6"/>
  <c r="W115" i="6" s="1"/>
  <c r="S112" i="6"/>
  <c r="W112" i="6" s="1"/>
  <c r="S109" i="6"/>
  <c r="W109" i="6" s="1"/>
  <c r="S106" i="6"/>
  <c r="W106" i="6" s="1"/>
  <c r="S103" i="6"/>
  <c r="W103" i="6" s="1"/>
  <c r="S92" i="6"/>
  <c r="W92" i="6" s="1"/>
  <c r="AP19" i="6"/>
  <c r="S68" i="6"/>
  <c r="W68" i="6" s="1"/>
  <c r="S44" i="6"/>
  <c r="W44" i="6" s="1"/>
  <c r="S135" i="6"/>
  <c r="W135" i="6" s="1"/>
  <c r="AP9" i="6"/>
  <c r="S120" i="6"/>
  <c r="W120" i="6" s="1"/>
  <c r="S119" i="6"/>
  <c r="W119" i="6" s="1"/>
  <c r="AP12" i="6"/>
  <c r="S107" i="6"/>
  <c r="W107" i="6" s="1"/>
  <c r="S105" i="6"/>
  <c r="W105" i="6" s="1"/>
  <c r="S104" i="6"/>
  <c r="W104" i="6" s="1"/>
  <c r="S102" i="6"/>
  <c r="W102" i="6" s="1"/>
  <c r="S97" i="6"/>
  <c r="W97" i="6" s="1"/>
  <c r="S96" i="6"/>
  <c r="W96" i="6" s="1"/>
  <c r="S94" i="6"/>
  <c r="W94" i="6" s="1"/>
  <c r="S93" i="6"/>
  <c r="W93" i="6" s="1"/>
  <c r="S99" i="6"/>
  <c r="W99" i="6" s="1"/>
  <c r="S98" i="6"/>
  <c r="W98" i="6" s="1"/>
  <c r="AP15" i="6"/>
  <c r="S91" i="6"/>
  <c r="W91" i="6" s="1"/>
  <c r="S90" i="6"/>
  <c r="W90" i="6" s="1"/>
  <c r="S89" i="6"/>
  <c r="W89" i="6" s="1"/>
  <c r="S88" i="6"/>
  <c r="W88" i="6" s="1"/>
  <c r="S87" i="6"/>
  <c r="W87" i="6" s="1"/>
  <c r="S86" i="6"/>
  <c r="W86" i="6" s="1"/>
  <c r="S85" i="6"/>
  <c r="W85" i="6" s="1"/>
  <c r="S84" i="6"/>
  <c r="W84" i="6" s="1"/>
  <c r="S83" i="6"/>
  <c r="W83" i="6" s="1"/>
  <c r="S82" i="6"/>
  <c r="W82" i="6" s="1"/>
  <c r="AP17" i="6"/>
  <c r="S81" i="6"/>
  <c r="W81" i="6" s="1"/>
  <c r="S80" i="6"/>
  <c r="W80" i="6" s="1"/>
  <c r="S79" i="6"/>
  <c r="W79" i="6" s="1"/>
  <c r="S78" i="6"/>
  <c r="W78" i="6" s="1"/>
  <c r="S77" i="6"/>
  <c r="W77" i="6" s="1"/>
  <c r="S76" i="6"/>
  <c r="W76" i="6" s="1"/>
  <c r="S75" i="6"/>
  <c r="W75" i="6" s="1"/>
  <c r="S74" i="6"/>
  <c r="W74" i="6" s="1"/>
  <c r="AP25" i="6"/>
  <c r="S29" i="6"/>
  <c r="W29" i="6" s="1"/>
  <c r="S27" i="6"/>
  <c r="W27" i="6" s="1"/>
  <c r="S25" i="6"/>
  <c r="W25" i="6" s="1"/>
  <c r="S23" i="6"/>
  <c r="W23" i="6" s="1"/>
  <c r="F136" i="3"/>
  <c r="J136" i="6" s="1"/>
  <c r="X19" i="6" l="1"/>
  <c r="X20" i="6" s="1"/>
  <c r="X21" i="6" s="1"/>
  <c r="X22" i="6" l="1"/>
  <c r="X23" i="6" l="1"/>
  <c r="X24" i="6" l="1"/>
  <c r="X25" i="6" l="1"/>
  <c r="X26" i="6" l="1"/>
  <c r="X27" i="6" l="1"/>
  <c r="X28" i="6" l="1"/>
  <c r="X29" i="6" l="1"/>
  <c r="X30" i="6" l="1"/>
  <c r="X31" i="6" l="1"/>
  <c r="X32" i="6" l="1"/>
  <c r="X33" i="6" l="1"/>
  <c r="X34" i="6" l="1"/>
  <c r="X35" i="6" l="1"/>
  <c r="X36" i="6" l="1"/>
  <c r="X37" i="6" l="1"/>
  <c r="X38" i="6" l="1"/>
  <c r="X39" i="6" l="1"/>
  <c r="X40" i="6" l="1"/>
  <c r="X41" i="6" l="1"/>
  <c r="X42" i="6" l="1"/>
  <c r="X43" i="6" l="1"/>
  <c r="X44" i="6" l="1"/>
  <c r="X45" i="6" l="1"/>
  <c r="X46" i="6" l="1"/>
  <c r="X47" i="6" l="1"/>
  <c r="X48" i="6" l="1"/>
  <c r="X49" i="6" l="1"/>
  <c r="X50" i="6" l="1"/>
  <c r="X51" i="6" l="1"/>
  <c r="X52" i="6" l="1"/>
  <c r="X53" i="6" l="1"/>
  <c r="X54" i="6" l="1"/>
  <c r="X55" i="6" l="1"/>
  <c r="X56" i="6" l="1"/>
  <c r="X57" i="6" l="1"/>
  <c r="X58" i="6" l="1"/>
  <c r="X59" i="6" l="1"/>
  <c r="X60" i="6" l="1"/>
  <c r="X61" i="6" l="1"/>
  <c r="X62" i="6" l="1"/>
  <c r="X63" i="6" l="1"/>
  <c r="X64" i="6" l="1"/>
  <c r="X65" i="6" l="1"/>
  <c r="X66" i="6" l="1"/>
  <c r="X67" i="6" l="1"/>
  <c r="X68" i="6" l="1"/>
  <c r="X69" i="6" l="1"/>
  <c r="X70" i="6" l="1"/>
  <c r="X71" i="6" l="1"/>
  <c r="X72" i="6" l="1"/>
  <c r="X73" i="6" l="1"/>
  <c r="X74" i="6" l="1"/>
  <c r="X75" i="6" l="1"/>
  <c r="X76" i="6" l="1"/>
  <c r="X77" i="6" l="1"/>
  <c r="X78" i="6" l="1"/>
  <c r="X79" i="6" l="1"/>
  <c r="X80" i="6" l="1"/>
  <c r="X81" i="6" l="1"/>
  <c r="X82" i="6" l="1"/>
  <c r="X83" i="6" l="1"/>
  <c r="X84" i="6" l="1"/>
  <c r="X85" i="6" l="1"/>
  <c r="X86" i="6" l="1"/>
  <c r="X87" i="6" l="1"/>
  <c r="X88" i="6" l="1"/>
  <c r="X89" i="6" l="1"/>
  <c r="X90" i="6" l="1"/>
  <c r="X91" i="6" l="1"/>
  <c r="X92" i="6" l="1"/>
  <c r="X93" i="6" l="1"/>
  <c r="X94" i="6" l="1"/>
  <c r="X95" i="6" l="1"/>
  <c r="X96" i="6" l="1"/>
  <c r="X97" i="6" l="1"/>
  <c r="X98" i="6" l="1"/>
  <c r="X99" i="6" l="1"/>
  <c r="X100" i="6" l="1"/>
  <c r="X101" i="6" l="1"/>
  <c r="X102" i="6" l="1"/>
  <c r="X103" i="6" l="1"/>
  <c r="X104" i="6" l="1"/>
  <c r="X105" i="6" l="1"/>
  <c r="X106" i="6" l="1"/>
  <c r="X107" i="6" l="1"/>
  <c r="X108" i="6" l="1"/>
  <c r="X109" i="6" l="1"/>
  <c r="X110" i="6" l="1"/>
  <c r="X111" i="6" l="1"/>
  <c r="X112" i="6" l="1"/>
  <c r="X113" i="6" l="1"/>
  <c r="X114" i="6" l="1"/>
  <c r="X115" i="6" l="1"/>
  <c r="X116" i="6" l="1"/>
  <c r="X117" i="6" l="1"/>
  <c r="X118" i="6" l="1"/>
  <c r="X119" i="6" l="1"/>
  <c r="X120" i="6" l="1"/>
  <c r="X121" i="6" l="1"/>
  <c r="X122" i="6" l="1"/>
  <c r="X123" i="6" l="1"/>
  <c r="X124" i="6" l="1"/>
  <c r="X125" i="6" l="1"/>
  <c r="X126" i="6" l="1"/>
  <c r="X127" i="6" l="1"/>
  <c r="X128" i="6" l="1"/>
  <c r="X129" i="6" l="1"/>
  <c r="X130" i="6" l="1"/>
  <c r="X131" i="6" l="1"/>
  <c r="X132" i="6" l="1"/>
  <c r="X133" i="6" l="1"/>
  <c r="X134" i="6" l="1"/>
  <c r="X135" i="6" l="1"/>
  <c r="X136" i="6" l="1"/>
  <c r="T135" i="6" s="1"/>
  <c r="T136" i="6" l="1"/>
  <c r="T19" i="6"/>
  <c r="T18" i="6"/>
  <c r="T20" i="6"/>
  <c r="T21" i="6"/>
  <c r="T22" i="6"/>
  <c r="T23" i="6"/>
  <c r="T24" i="6"/>
  <c r="T25" i="6"/>
  <c r="T26" i="6"/>
  <c r="T27" i="6"/>
  <c r="T28" i="6"/>
  <c r="T29" i="6"/>
  <c r="T30" i="6"/>
  <c r="T31" i="6"/>
  <c r="T32" i="6"/>
  <c r="T33" i="6"/>
  <c r="T34" i="6"/>
  <c r="T35" i="6"/>
  <c r="T36" i="6"/>
  <c r="T37" i="6"/>
  <c r="T38" i="6"/>
  <c r="T39" i="6"/>
  <c r="T40" i="6"/>
  <c r="T41" i="6"/>
  <c r="T42" i="6"/>
  <c r="T43" i="6"/>
  <c r="T44" i="6"/>
  <c r="T45" i="6"/>
  <c r="T46" i="6"/>
  <c r="T47" i="6"/>
  <c r="T48" i="6"/>
  <c r="T49" i="6"/>
  <c r="T50" i="6"/>
  <c r="T51" i="6"/>
  <c r="T52" i="6"/>
  <c r="T53" i="6"/>
  <c r="T54" i="6"/>
  <c r="T55" i="6"/>
  <c r="T56" i="6"/>
  <c r="T57" i="6"/>
  <c r="T58" i="6"/>
  <c r="T59" i="6"/>
  <c r="T60" i="6"/>
  <c r="T61" i="6"/>
  <c r="T62" i="6"/>
  <c r="T63" i="6"/>
  <c r="T64" i="6"/>
  <c r="T65" i="6"/>
  <c r="T66" i="6"/>
  <c r="T67" i="6"/>
  <c r="T68" i="6"/>
  <c r="T69" i="6"/>
  <c r="T70" i="6"/>
  <c r="T71" i="6"/>
  <c r="T72" i="6"/>
  <c r="T73" i="6"/>
  <c r="T74" i="6"/>
  <c r="T75" i="6"/>
  <c r="T76" i="6"/>
  <c r="T77" i="6"/>
  <c r="T78" i="6"/>
  <c r="T79" i="6"/>
  <c r="T80" i="6"/>
  <c r="T81" i="6"/>
  <c r="T82" i="6"/>
  <c r="T83" i="6"/>
  <c r="T84" i="6"/>
  <c r="T85" i="6"/>
  <c r="T86" i="6"/>
  <c r="T87" i="6"/>
  <c r="T88" i="6"/>
  <c r="T89" i="6"/>
  <c r="T90" i="6"/>
  <c r="T91" i="6"/>
  <c r="T92" i="6"/>
  <c r="T93" i="6"/>
  <c r="T94" i="6"/>
  <c r="T95" i="6"/>
  <c r="T96" i="6"/>
  <c r="T97" i="6"/>
  <c r="T98" i="6"/>
  <c r="T99" i="6"/>
  <c r="T100" i="6"/>
  <c r="T101" i="6"/>
  <c r="T102" i="6"/>
  <c r="T103" i="6"/>
  <c r="T104" i="6"/>
  <c r="T105" i="6"/>
  <c r="T106" i="6"/>
  <c r="T107" i="6"/>
  <c r="T108" i="6"/>
  <c r="T109" i="6"/>
  <c r="T110" i="6"/>
  <c r="T111" i="6"/>
  <c r="T112" i="6"/>
  <c r="T113" i="6"/>
  <c r="T114" i="6"/>
  <c r="T115" i="6"/>
  <c r="T116" i="6"/>
  <c r="T117" i="6"/>
  <c r="T118" i="6"/>
  <c r="T119" i="6"/>
  <c r="T120" i="6"/>
  <c r="T121" i="6"/>
  <c r="T122" i="6"/>
  <c r="T123" i="6"/>
  <c r="T124" i="6"/>
  <c r="T125" i="6"/>
  <c r="T126" i="6"/>
  <c r="T127" i="6"/>
  <c r="T128" i="6"/>
  <c r="T129" i="6"/>
  <c r="T130" i="6"/>
  <c r="T131" i="6"/>
  <c r="T132" i="6"/>
  <c r="T133" i="6"/>
  <c r="T134" i="6"/>
  <c r="K3" i="4" l="1"/>
  <c r="K3" i="5"/>
  <c r="I8" i="3"/>
</calcChain>
</file>

<file path=xl/sharedStrings.xml><?xml version="1.0" encoding="utf-8"?>
<sst xmlns="http://schemas.openxmlformats.org/spreadsheetml/2006/main" count="170" uniqueCount="97">
  <si>
    <t>air/oil</t>
  </si>
  <si>
    <t>Above Free Water, ft</t>
  </si>
  <si>
    <t>Bulk</t>
  </si>
  <si>
    <t>Volume,</t>
  </si>
  <si>
    <t>Gas-Oil,</t>
  </si>
  <si>
    <t>Saturation,</t>
  </si>
  <si>
    <t>Inc. (mD)</t>
  </si>
  <si>
    <t>Cumulative</t>
  </si>
  <si>
    <t>Hg Sat</t>
  </si>
  <si>
    <t>Weight,</t>
  </si>
  <si>
    <t>Laboratory TcosTheta</t>
  </si>
  <si>
    <t>MERCURY INJECTION CAPILLARY PRESSURE</t>
  </si>
  <si>
    <t>Gas:</t>
  </si>
  <si>
    <t>cumulative</t>
  </si>
  <si>
    <t>Oil:</t>
  </si>
  <si>
    <t>Sample</t>
  </si>
  <si>
    <t>incremental</t>
  </si>
  <si>
    <t>Estimated Height</t>
  </si>
  <si>
    <t>grams</t>
  </si>
  <si>
    <t>Helium</t>
  </si>
  <si>
    <t>Funct.</t>
  </si>
  <si>
    <t>%BV</t>
  </si>
  <si>
    <t>Mercury IFT</t>
  </si>
  <si>
    <t>1</t>
  </si>
  <si>
    <t>Grain Density, grams/cc:</t>
  </si>
  <si>
    <t>Reservoir Contact Angle</t>
  </si>
  <si>
    <t>fraction</t>
  </si>
  <si>
    <t>grams/cc</t>
  </si>
  <si>
    <t>Sb/Pc</t>
  </si>
  <si>
    <t>oil/water</t>
  </si>
  <si>
    <t>Laboratory IFT</t>
  </si>
  <si>
    <t>PSD HISTOGRAM</t>
  </si>
  <si>
    <t>Laboratory Contact Angle</t>
  </si>
  <si>
    <t>intrusion</t>
  </si>
  <si>
    <t>Saturation</t>
  </si>
  <si>
    <t>O-W</t>
  </si>
  <si>
    <t>cc</t>
  </si>
  <si>
    <t>Conformance Correction,</t>
  </si>
  <si>
    <t>Norm. Pore</t>
  </si>
  <si>
    <t xml:space="preserve"> </t>
  </si>
  <si>
    <t>Density,</t>
  </si>
  <si>
    <t>Sample Number:</t>
  </si>
  <si>
    <t>Oil-Water,</t>
  </si>
  <si>
    <t>Contribution</t>
  </si>
  <si>
    <t>Size Dist.</t>
  </si>
  <si>
    <t>Pore Throat</t>
  </si>
  <si>
    <t xml:space="preserve"> 1.0-Mercury </t>
  </si>
  <si>
    <t>Radius, µm</t>
  </si>
  <si>
    <t>Fluid Density Gradients</t>
  </si>
  <si>
    <t>psia</t>
  </si>
  <si>
    <t xml:space="preserve">Mercury </t>
  </si>
  <si>
    <t>Conversion Parameters</t>
  </si>
  <si>
    <t>air/water</t>
  </si>
  <si>
    <t>Porosity, fraction:</t>
  </si>
  <si>
    <t>Diameter,</t>
  </si>
  <si>
    <t>microns</t>
  </si>
  <si>
    <t>frequency</t>
  </si>
  <si>
    <t>Corrected</t>
  </si>
  <si>
    <t>Uncorrected</t>
  </si>
  <si>
    <t>Normalized</t>
  </si>
  <si>
    <t>%PV</t>
  </si>
  <si>
    <t>Reservoir TcosTheta</t>
  </si>
  <si>
    <t>Porosity,</t>
  </si>
  <si>
    <t>Mercury</t>
  </si>
  <si>
    <t>micron</t>
  </si>
  <si>
    <t>Injection Pressure,</t>
  </si>
  <si>
    <t>G-W</t>
  </si>
  <si>
    <t>air/Hg</t>
  </si>
  <si>
    <t>d Log</t>
  </si>
  <si>
    <t>Function</t>
  </si>
  <si>
    <t>Mercury Saturation</t>
  </si>
  <si>
    <t>ml</t>
  </si>
  <si>
    <t>Water:</t>
  </si>
  <si>
    <t>IFT * Cosine Contact Angle:</t>
  </si>
  <si>
    <t>Gas-Water,</t>
  </si>
  <si>
    <t>Permeability to Air (calc), mD:</t>
  </si>
  <si>
    <t>Pore Radius,</t>
  </si>
  <si>
    <t>Mercury Injection</t>
  </si>
  <si>
    <t>Pressure,</t>
  </si>
  <si>
    <t>Radius,</t>
  </si>
  <si>
    <t>d Sw/d Log</t>
  </si>
  <si>
    <t>Reservoir IFT</t>
  </si>
  <si>
    <t>&lt; 0.0018</t>
  </si>
  <si>
    <t>Mercury Contact Angle</t>
  </si>
  <si>
    <t>Grain</t>
  </si>
  <si>
    <t>Injection</t>
  </si>
  <si>
    <t>Other Laboratory Systems</t>
  </si>
  <si>
    <t>Permeability</t>
  </si>
  <si>
    <t>J</t>
  </si>
  <si>
    <t>Pore</t>
  </si>
  <si>
    <t>Cum. (mD)</t>
  </si>
  <si>
    <t>Incremental</t>
  </si>
  <si>
    <t>Sample Depth, m:</t>
  </si>
  <si>
    <t>NordAq Energy Inc.</t>
  </si>
  <si>
    <t>East Simpson No. 2 (USGS/Husky 1980)</t>
  </si>
  <si>
    <t>Torok Sandstones Formation</t>
  </si>
  <si>
    <t>HH-61176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</si>
</sst>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6" formatCode="0.0_)"/>
    <numFmt numFmtId="168" formatCode="0.0"/>
    <numFmt numFmtId="169" formatCode="0.000"/>
    <numFmt numFmtId="170" formatCode="0.0000"/>
    <numFmt numFmtId="171" formatCode="???0.00"/>
    <numFmt numFmtId="172" formatCode="[&lt;1]0.?0;[&gt;10]0;0.0"/>
    <numFmt numFmtId="173" formatCode="[&lt;1]0.000;[&gt;10]0.0;0.00"/>
    <numFmt numFmtId="174" formatCode="[&lt;0.1]0.000;[&gt;0.1]0.00;0.0"/>
    <numFmt numFmtId="175" formatCode="[Blue]General"/>
    <numFmt numFmtId="176" formatCode="?????.0"/>
    <numFmt numFmtId="177" formatCode="[&lt;10]???0.00;[&gt;100]???0;???0.0"/>
    <numFmt numFmtId="178" formatCode="?????"/>
    <numFmt numFmtId="179" formatCode="?????.00"/>
    <numFmt numFmtId="180" formatCode="[&lt;100]????0.0;[&gt;100]?????;General"/>
    <numFmt numFmtId="181" formatCode="????0.00"/>
    <numFmt numFmtId="183" formatCode="??0."/>
    <numFmt numFmtId="184" formatCode="??????0.0000"/>
    <numFmt numFmtId="186" formatCode="????0.0?"/>
    <numFmt numFmtId="187" formatCode="????0.??"/>
    <numFmt numFmtId="188" formatCode="0.00??"/>
    <numFmt numFmtId="189" formatCode="0.00000"/>
    <numFmt numFmtId="191" formatCode="m\-dd\-yy"/>
    <numFmt numFmtId="192" formatCode="??0.000"/>
    <numFmt numFmtId="194" formatCode="???0.000"/>
    <numFmt numFmtId="196" formatCode="????0.000"/>
    <numFmt numFmtId="197" formatCode="??0.0000"/>
    <numFmt numFmtId="198" formatCode="0.0\ \ \ \ "/>
  </numFmts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i/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8" fillId="0" borderId="0"/>
    <xf numFmtId="0" fontId="8" fillId="0" borderId="0"/>
  </cellStyleXfs>
  <cellXfs count="172">
    <xf numFmtId="0" fontId="0" fillId="0" borderId="0" xfId="0"/>
    <xf numFmtId="179" fontId="0" fillId="0" borderId="0" xfId="3" applyNumberFormat="1" applyFont="1" applyBorder="1" applyAlignment="1" applyProtection="1">
      <alignment horizontal="center"/>
    </xf>
    <xf numFmtId="0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Alignment="1">
      <alignment horizontal="center"/>
    </xf>
    <xf numFmtId="198" fontId="0" fillId="0" borderId="0" xfId="0" quotePrefix="1" applyNumberFormat="1" applyFont="1" applyBorder="1" applyAlignment="1">
      <alignment horizontal="left"/>
    </xf>
    <xf numFmtId="170" fontId="0" fillId="0" borderId="0" xfId="3" applyNumberFormat="1" applyFont="1" applyAlignment="1" applyProtection="1">
      <alignment horizontal="right"/>
    </xf>
    <xf numFmtId="0" fontId="0" fillId="0" borderId="3" xfId="3" applyNumberFormat="1" applyFont="1" applyBorder="1" applyAlignment="1" applyProtection="1">
      <alignment horizontal="center"/>
    </xf>
    <xf numFmtId="0" fontId="0" fillId="0" borderId="0" xfId="3" applyFont="1" applyAlignment="1" applyProtection="1">
      <alignment horizontal="right"/>
    </xf>
    <xf numFmtId="0" fontId="0" fillId="0" borderId="0" xfId="3" applyFont="1"/>
    <xf numFmtId="169" fontId="0" fillId="0" borderId="0" xfId="3" applyNumberFormat="1" applyFont="1" applyBorder="1" applyAlignment="1" applyProtection="1">
      <alignment horizontal="center"/>
    </xf>
    <xf numFmtId="196" fontId="0" fillId="0" borderId="0" xfId="3" applyNumberFormat="1" applyFont="1" applyAlignment="1" applyProtection="1">
      <alignment horizontal="center"/>
    </xf>
    <xf numFmtId="0" fontId="0" fillId="0" borderId="0" xfId="3" applyFont="1" applyAlignment="1" applyProtection="1">
      <alignment horizontal="left"/>
    </xf>
    <xf numFmtId="0" fontId="0" fillId="0" borderId="0" xfId="3" applyFont="1" applyFill="1"/>
    <xf numFmtId="0" fontId="0" fillId="2" borderId="0" xfId="0" applyFill="1" applyBorder="1" applyAlignment="1">
      <alignment vertical="center"/>
    </xf>
    <xf numFmtId="0" fontId="0" fillId="0" borderId="7" xfId="3" applyFont="1" applyBorder="1" applyAlignment="1" applyProtection="1">
      <alignment horizontal="centerContinuous" vertical="center"/>
    </xf>
    <xf numFmtId="170" fontId="0" fillId="0" borderId="0" xfId="0" applyNumberFormat="1" applyAlignment="1">
      <alignment horizontal="center"/>
    </xf>
    <xf numFmtId="0" fontId="0" fillId="0" borderId="0" xfId="0" applyFont="1" applyBorder="1"/>
    <xf numFmtId="177" fontId="0" fillId="0" borderId="0" xfId="3" applyNumberFormat="1" applyFont="1" applyBorder="1" applyProtection="1"/>
    <xf numFmtId="0" fontId="2" fillId="0" borderId="0" xfId="3" applyFont="1" applyAlignment="1">
      <alignment horizontal="centerContinuous"/>
    </xf>
    <xf numFmtId="180" fontId="0" fillId="0" borderId="0" xfId="3" applyNumberFormat="1" applyFont="1" applyBorder="1" applyAlignment="1" applyProtection="1">
      <alignment horizontal="center"/>
    </xf>
    <xf numFmtId="0" fontId="0" fillId="0" borderId="9" xfId="0" applyFont="1" applyBorder="1"/>
    <xf numFmtId="166" fontId="0" fillId="0" borderId="4" xfId="3" applyNumberFormat="1" applyFont="1" applyBorder="1" applyAlignment="1" applyProtection="1">
      <alignment horizontal="center"/>
    </xf>
    <xf numFmtId="0" fontId="0" fillId="0" borderId="0" xfId="3" applyFont="1" applyProtection="1"/>
    <xf numFmtId="0" fontId="3" fillId="0" borderId="0" xfId="0" applyFont="1" applyFill="1" applyBorder="1" applyAlignment="1">
      <alignment horizontal="center"/>
    </xf>
    <xf numFmtId="192" fontId="0" fillId="0" borderId="0" xfId="3" applyNumberFormat="1" applyFont="1" applyAlignment="1" applyProtection="1">
      <alignment horizontal="center"/>
    </xf>
    <xf numFmtId="1" fontId="0" fillId="0" borderId="0" xfId="0" quotePrefix="1" applyNumberFormat="1" applyFont="1" applyAlignment="1">
      <alignment horizontal="right"/>
    </xf>
    <xf numFmtId="183" fontId="0" fillId="0" borderId="0" xfId="0" applyNumberFormat="1" applyBorder="1" applyAlignment="1">
      <alignment horizontal="center"/>
    </xf>
    <xf numFmtId="169" fontId="4" fillId="0" borderId="4" xfId="3" applyNumberFormat="1" applyFont="1" applyBorder="1" applyProtection="1">
      <protection locked="0"/>
    </xf>
    <xf numFmtId="0" fontId="0" fillId="0" borderId="0" xfId="3" applyFont="1" applyFill="1" applyProtection="1"/>
    <xf numFmtId="0" fontId="0" fillId="0" borderId="2" xfId="3" applyFont="1" applyBorder="1"/>
    <xf numFmtId="175" fontId="0" fillId="0" borderId="0" xfId="3" applyNumberFormat="1" applyFont="1" applyBorder="1" applyAlignment="1" applyProtection="1">
      <alignment horizontal="center"/>
      <protection locked="0"/>
    </xf>
    <xf numFmtId="181" fontId="0" fillId="0" borderId="13" xfId="3" applyNumberFormat="1" applyFont="1" applyBorder="1" applyAlignment="1" applyProtection="1">
      <alignment horizontal="centerContinuous"/>
    </xf>
    <xf numFmtId="0" fontId="0" fillId="0" borderId="0" xfId="3" applyFont="1" applyBorder="1" applyAlignment="1">
      <alignment horizontal="centerContinuous"/>
    </xf>
    <xf numFmtId="0" fontId="4" fillId="0" borderId="3" xfId="3" applyNumberFormat="1" applyFont="1" applyBorder="1" applyAlignment="1" applyProtection="1">
      <alignment horizontal="center"/>
      <protection locked="0"/>
    </xf>
    <xf numFmtId="0" fontId="0" fillId="0" borderId="11" xfId="3" applyFont="1" applyBorder="1" applyAlignment="1" applyProtection="1">
      <alignment horizontal="center"/>
    </xf>
    <xf numFmtId="0" fontId="0" fillId="0" borderId="6" xfId="3" applyFont="1" applyBorder="1"/>
    <xf numFmtId="197" fontId="0" fillId="0" borderId="0" xfId="3" applyNumberFormat="1" applyFont="1" applyAlignment="1" applyProtection="1">
      <alignment horizontal="center"/>
    </xf>
    <xf numFmtId="169" fontId="0" fillId="0" borderId="0" xfId="3" applyNumberFormat="1" applyFont="1" applyBorder="1"/>
    <xf numFmtId="0" fontId="0" fillId="0" borderId="3" xfId="3" applyFont="1" applyBorder="1" applyAlignment="1" applyProtection="1">
      <alignment horizontal="center"/>
      <protection locked="0"/>
    </xf>
    <xf numFmtId="0" fontId="0" fillId="0" borderId="0" xfId="3" applyNumberFormat="1" applyFont="1" applyBorder="1" applyProtection="1"/>
    <xf numFmtId="2" fontId="0" fillId="0" borderId="0" xfId="0" applyNumberFormat="1" applyFont="1" applyAlignment="1">
      <alignment horizontal="right"/>
    </xf>
    <xf numFmtId="196" fontId="0" fillId="0" borderId="0" xfId="3" applyNumberFormat="1" applyFont="1" applyAlignment="1" applyProtection="1">
      <alignment horizontal="left"/>
    </xf>
    <xf numFmtId="169" fontId="0" fillId="0" borderId="0" xfId="0" applyNumberFormat="1" applyFont="1"/>
    <xf numFmtId="0" fontId="5" fillId="0" borderId="0" xfId="3" applyFont="1" applyProtection="1"/>
    <xf numFmtId="168" fontId="0" fillId="0" borderId="0" xfId="0" applyNumberFormat="1" applyAlignment="1">
      <alignment horizontal="center"/>
    </xf>
    <xf numFmtId="189" fontId="0" fillId="0" borderId="0" xfId="0" applyNumberFormat="1" applyFont="1" applyAlignment="1">
      <alignment horizontal="right"/>
    </xf>
    <xf numFmtId="0" fontId="0" fillId="0" borderId="2" xfId="3" applyFont="1" applyBorder="1" applyProtection="1"/>
    <xf numFmtId="0" fontId="0" fillId="0" borderId="15" xfId="3" applyFont="1" applyBorder="1" applyAlignment="1" applyProtection="1">
      <alignment horizontal="center" vertical="center"/>
    </xf>
    <xf numFmtId="0" fontId="0" fillId="0" borderId="0" xfId="3" applyFont="1" applyBorder="1" applyAlignment="1">
      <alignment horizontal="center"/>
    </xf>
    <xf numFmtId="168" fontId="0" fillId="0" borderId="0" xfId="3" applyNumberFormat="1" applyFont="1" applyProtection="1"/>
    <xf numFmtId="194" fontId="0" fillId="0" borderId="0" xfId="3" applyNumberFormat="1" applyFont="1" applyAlignment="1" applyProtection="1">
      <alignment horizontal="center"/>
    </xf>
    <xf numFmtId="0" fontId="0" fillId="0" borderId="0" xfId="3" applyFont="1" applyBorder="1" applyAlignment="1" applyProtection="1">
      <alignment horizontal="centerContinuous"/>
    </xf>
    <xf numFmtId="0" fontId="0" fillId="0" borderId="0" xfId="0" applyFont="1" applyAlignment="1">
      <alignment horizontal="center"/>
    </xf>
    <xf numFmtId="0" fontId="0" fillId="0" borderId="3" xfId="3" applyFont="1" applyBorder="1" applyAlignment="1">
      <alignment horizontal="center"/>
    </xf>
    <xf numFmtId="0" fontId="0" fillId="0" borderId="6" xfId="3" applyFont="1" applyBorder="1" applyProtection="1"/>
    <xf numFmtId="0" fontId="0" fillId="0" borderId="0" xfId="3" applyFont="1" applyBorder="1" applyAlignment="1"/>
    <xf numFmtId="169" fontId="0" fillId="0" borderId="0" xfId="3" applyNumberFormat="1" applyFont="1" applyAlignment="1" applyProtection="1">
      <alignment horizontal="right"/>
    </xf>
    <xf numFmtId="184" fontId="0" fillId="0" borderId="0" xfId="0" applyNumberFormat="1" applyBorder="1" applyAlignment="1">
      <alignment horizontal="center"/>
    </xf>
    <xf numFmtId="0" fontId="0" fillId="0" borderId="15" xfId="3" applyFont="1" applyFill="1" applyBorder="1" applyAlignment="1" applyProtection="1">
      <alignment horizontal="center" vertical="center"/>
    </xf>
    <xf numFmtId="1" fontId="0" fillId="0" borderId="0" xfId="3" applyNumberFormat="1" applyFont="1" applyProtection="1"/>
    <xf numFmtId="2" fontId="0" fillId="0" borderId="5" xfId="3" applyNumberFormat="1" applyFont="1" applyBorder="1" applyAlignment="1" applyProtection="1">
      <alignment horizontal="center"/>
    </xf>
    <xf numFmtId="0" fontId="0" fillId="0" borderId="15" xfId="0" applyBorder="1" applyAlignment="1">
      <alignment horizontal="center"/>
    </xf>
    <xf numFmtId="194" fontId="0" fillId="0" borderId="0" xfId="3" applyNumberFormat="1" applyFont="1" applyFill="1" applyAlignment="1" applyProtection="1">
      <alignment horizontal="center"/>
    </xf>
    <xf numFmtId="181" fontId="0" fillId="0" borderId="0" xfId="3" applyNumberFormat="1" applyFont="1" applyAlignment="1" applyProtection="1">
      <alignment horizontal="center"/>
    </xf>
    <xf numFmtId="14" fontId="0" fillId="0" borderId="0" xfId="0" applyNumberFormat="1" applyFont="1"/>
    <xf numFmtId="0" fontId="0" fillId="0" borderId="0" xfId="3" applyFont="1" applyBorder="1" applyAlignment="1" applyProtection="1">
      <alignment horizontal="center"/>
    </xf>
    <xf numFmtId="176" fontId="0" fillId="0" borderId="0" xfId="3" applyNumberFormat="1" applyFont="1" applyBorder="1" applyAlignment="1" applyProtection="1">
      <alignment horizontal="center"/>
    </xf>
    <xf numFmtId="192" fontId="0" fillId="0" borderId="1" xfId="3" applyNumberFormat="1" applyFont="1" applyBorder="1" applyAlignment="1" applyProtection="1">
      <alignment horizontal="centerContinuous"/>
    </xf>
    <xf numFmtId="0" fontId="0" fillId="0" borderId="5" xfId="3" applyFont="1" applyBorder="1" applyAlignment="1" applyProtection="1">
      <alignment horizontal="center" vertical="center"/>
    </xf>
    <xf numFmtId="188" fontId="0" fillId="0" borderId="0" xfId="3" applyNumberFormat="1" applyFont="1" applyAlignment="1" applyProtection="1">
      <alignment horizontal="center"/>
    </xf>
    <xf numFmtId="0" fontId="0" fillId="0" borderId="14" xfId="3" applyFont="1" applyBorder="1" applyAlignment="1" applyProtection="1">
      <alignment horizontal="center" vertical="center"/>
    </xf>
    <xf numFmtId="2" fontId="0" fillId="0" borderId="0" xfId="0" applyNumberFormat="1" applyBorder="1" applyAlignment="1">
      <alignment horizontal="center"/>
    </xf>
    <xf numFmtId="166" fontId="0" fillId="0" borderId="8" xfId="3" applyNumberFormat="1" applyFont="1" applyBorder="1" applyAlignment="1" applyProtection="1">
      <alignment horizontal="center"/>
    </xf>
    <xf numFmtId="1" fontId="4" fillId="0" borderId="4" xfId="3" applyNumberFormat="1" applyFont="1" applyBorder="1" applyAlignment="1" applyProtection="1">
      <alignment horizontal="center"/>
      <protection locked="0"/>
    </xf>
    <xf numFmtId="169" fontId="0" fillId="0" borderId="0" xfId="3" applyNumberFormat="1" applyFont="1" applyAlignment="1">
      <alignment horizontal="center"/>
    </xf>
    <xf numFmtId="0" fontId="0" fillId="0" borderId="14" xfId="3" applyFont="1" applyFill="1" applyBorder="1" applyAlignment="1" applyProtection="1">
      <alignment horizontal="center" vertical="center"/>
    </xf>
    <xf numFmtId="0" fontId="0" fillId="0" borderId="4" xfId="0" applyFont="1" applyBorder="1" applyAlignment="1">
      <alignment horizontal="center"/>
    </xf>
    <xf numFmtId="0" fontId="0" fillId="0" borderId="0" xfId="0" applyFont="1" applyAlignment="1">
      <alignment horizontal="right"/>
    </xf>
    <xf numFmtId="166" fontId="0" fillId="0" borderId="0" xfId="3" applyNumberFormat="1" applyFont="1" applyBorder="1" applyAlignment="1" applyProtection="1">
      <alignment horizontal="center"/>
    </xf>
    <xf numFmtId="2" fontId="0" fillId="0" borderId="0" xfId="0" applyNumberFormat="1" applyFont="1" applyAlignment="1"/>
    <xf numFmtId="169" fontId="4" fillId="0" borderId="7" xfId="3" applyNumberFormat="1" applyFont="1" applyBorder="1" applyProtection="1">
      <protection locked="0"/>
    </xf>
    <xf numFmtId="169" fontId="0" fillId="0" borderId="0" xfId="0" applyNumberFormat="1" applyFont="1" applyBorder="1" applyAlignment="1">
      <alignment horizontal="center"/>
    </xf>
    <xf numFmtId="0" fontId="0" fillId="0" borderId="0" xfId="3" applyFont="1" applyBorder="1" applyAlignment="1" applyProtection="1">
      <alignment horizontal="centerContinuous" vertical="center"/>
    </xf>
    <xf numFmtId="2" fontId="0" fillId="0" borderId="0" xfId="3" applyNumberFormat="1" applyFont="1" applyBorder="1" applyAlignment="1" applyProtection="1">
      <alignment horizontal="center"/>
    </xf>
    <xf numFmtId="169" fontId="0" fillId="0" borderId="0" xfId="3" applyNumberFormat="1" applyFont="1" applyAlignment="1" applyProtection="1">
      <alignment horizontal="center"/>
    </xf>
    <xf numFmtId="191" fontId="0" fillId="0" borderId="0" xfId="0" applyNumberFormat="1" applyAlignment="1">
      <alignment horizontal="left"/>
    </xf>
    <xf numFmtId="169" fontId="4" fillId="0" borderId="0" xfId="3" applyNumberFormat="1" applyFont="1" applyBorder="1" applyProtection="1">
      <protection locked="0"/>
    </xf>
    <xf numFmtId="0" fontId="0" fillId="0" borderId="0" xfId="0" applyFill="1" applyBorder="1" applyAlignment="1">
      <alignment vertical="center"/>
    </xf>
    <xf numFmtId="0" fontId="4" fillId="0" borderId="0" xfId="3" applyNumberFormat="1" applyFont="1" applyBorder="1" applyAlignment="1" applyProtection="1">
      <alignment horizontal="center"/>
      <protection locked="0"/>
    </xf>
    <xf numFmtId="0" fontId="0" fillId="0" borderId="0" xfId="3" applyFont="1" applyBorder="1"/>
    <xf numFmtId="169" fontId="4" fillId="0" borderId="0" xfId="3" applyNumberFormat="1" applyFont="1" applyFill="1" applyBorder="1" applyProtection="1">
      <protection locked="0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0" fontId="0" fillId="0" borderId="0" xfId="3" applyFont="1" applyBorder="1" applyAlignment="1" applyProtection="1">
      <alignment horizontal="left"/>
    </xf>
    <xf numFmtId="0" fontId="0" fillId="0" borderId="0" xfId="0" applyFont="1"/>
    <xf numFmtId="0" fontId="0" fillId="0" borderId="3" xfId="3" applyFont="1" applyBorder="1"/>
    <xf numFmtId="192" fontId="0" fillId="0" borderId="0" xfId="3" applyNumberFormat="1" applyFont="1" applyBorder="1" applyAlignment="1" applyProtection="1">
      <alignment horizontal="centerContinuous"/>
    </xf>
    <xf numFmtId="0" fontId="0" fillId="0" borderId="9" xfId="3" applyFont="1" applyBorder="1" applyAlignment="1" applyProtection="1">
      <alignment horizontal="center" vertical="center"/>
    </xf>
    <xf numFmtId="170" fontId="0" fillId="0" borderId="0" xfId="0" applyNumberFormat="1" applyBorder="1" applyAlignment="1">
      <alignment horizontal="center"/>
    </xf>
    <xf numFmtId="169" fontId="4" fillId="0" borderId="0" xfId="0" applyNumberFormat="1" applyFont="1"/>
    <xf numFmtId="0" fontId="2" fillId="0" borderId="0" xfId="3" applyFont="1" applyBorder="1" applyAlignment="1">
      <alignment horizontal="centerContinuous"/>
    </xf>
    <xf numFmtId="0" fontId="0" fillId="0" borderId="0" xfId="0" applyBorder="1" applyAlignment="1">
      <alignment horizontal="center"/>
    </xf>
    <xf numFmtId="181" fontId="0" fillId="0" borderId="11" xfId="3" applyNumberFormat="1" applyFont="1" applyBorder="1" applyAlignment="1" applyProtection="1">
      <alignment horizontal="centerContinuous"/>
    </xf>
    <xf numFmtId="183" fontId="0" fillId="0" borderId="0" xfId="0" applyNumberFormat="1" applyAlignment="1">
      <alignment horizontal="center"/>
    </xf>
    <xf numFmtId="0" fontId="0" fillId="0" borderId="9" xfId="3" applyFont="1" applyFill="1" applyBorder="1" applyAlignment="1" applyProtection="1">
      <alignment horizontal="center" vertical="center"/>
    </xf>
    <xf numFmtId="0" fontId="0" fillId="0" borderId="9" xfId="0" applyBorder="1" applyAlignment="1">
      <alignment horizontal="center"/>
    </xf>
    <xf numFmtId="0" fontId="0" fillId="0" borderId="0" xfId="3" applyFont="1" applyBorder="1" applyProtection="1"/>
    <xf numFmtId="0" fontId="0" fillId="0" borderId="0" xfId="3" applyNumberFormat="1" applyFont="1" applyAlignment="1" applyProtection="1">
      <alignment horizontal="left"/>
    </xf>
    <xf numFmtId="192" fontId="0" fillId="0" borderId="0" xfId="3" applyNumberFormat="1" applyFont="1" applyBorder="1" applyAlignment="1" applyProtection="1">
      <alignment horizontal="center"/>
    </xf>
    <xf numFmtId="0" fontId="0" fillId="0" borderId="13" xfId="3" applyFont="1" applyBorder="1" applyAlignment="1">
      <alignment horizontal="center"/>
    </xf>
    <xf numFmtId="0" fontId="0" fillId="0" borderId="0" xfId="3" applyFont="1" applyAlignment="1">
      <alignment horizontal="centerContinuous"/>
    </xf>
    <xf numFmtId="178" fontId="0" fillId="0" borderId="0" xfId="3" applyNumberFormat="1" applyFont="1" applyBorder="1" applyAlignment="1" applyProtection="1">
      <alignment horizontal="center"/>
    </xf>
    <xf numFmtId="170" fontId="0" fillId="0" borderId="0" xfId="0" applyNumberFormat="1" applyFill="1" applyBorder="1" applyAlignment="1"/>
    <xf numFmtId="173" fontId="0" fillId="0" borderId="0" xfId="3" applyNumberFormat="1" applyFont="1" applyBorder="1" applyAlignment="1" applyProtection="1">
      <alignment horizontal="center"/>
    </xf>
    <xf numFmtId="191" fontId="0" fillId="0" borderId="0" xfId="2" applyNumberFormat="1" applyFont="1" applyFill="1"/>
    <xf numFmtId="169" fontId="0" fillId="0" borderId="0" xfId="3" applyNumberFormat="1" applyFont="1"/>
    <xf numFmtId="1" fontId="4" fillId="0" borderId="8" xfId="3" applyNumberFormat="1" applyFont="1" applyBorder="1" applyAlignment="1" applyProtection="1">
      <alignment horizontal="center"/>
      <protection locked="0"/>
    </xf>
    <xf numFmtId="171" fontId="0" fillId="0" borderId="0" xfId="3" applyNumberFormat="1" applyFont="1" applyAlignment="1" applyProtection="1">
      <alignment horizontal="center"/>
    </xf>
    <xf numFmtId="0" fontId="0" fillId="0" borderId="0" xfId="0" applyFill="1" applyBorder="1" applyAlignment="1"/>
    <xf numFmtId="0" fontId="0" fillId="0" borderId="0" xfId="3" applyNumberFormat="1" applyFont="1" applyProtection="1"/>
    <xf numFmtId="2" fontId="0" fillId="0" borderId="0" xfId="0" applyNumberFormat="1" applyFont="1"/>
    <xf numFmtId="0" fontId="0" fillId="0" borderId="10" xfId="3" applyFont="1" applyBorder="1" applyAlignment="1" applyProtection="1">
      <alignment horizontal="centerContinuous" vertical="center"/>
    </xf>
    <xf numFmtId="0" fontId="6" fillId="2" borderId="0" xfId="0" applyFont="1" applyFill="1" applyBorder="1" applyAlignment="1">
      <alignment vertical="center"/>
    </xf>
    <xf numFmtId="0" fontId="0" fillId="0" borderId="2" xfId="3" applyFont="1" applyBorder="1" applyAlignment="1" applyProtection="1">
      <alignment horizontal="centerContinuous" vertical="center"/>
    </xf>
    <xf numFmtId="172" fontId="0" fillId="0" borderId="0" xfId="3" applyNumberFormat="1" applyFont="1" applyAlignment="1" applyProtection="1">
      <alignment horizontal="center"/>
    </xf>
    <xf numFmtId="0" fontId="0" fillId="0" borderId="13" xfId="3" applyFont="1" applyBorder="1" applyAlignment="1" applyProtection="1">
      <alignment horizontal="center"/>
    </xf>
    <xf numFmtId="0" fontId="0" fillId="0" borderId="4" xfId="3" applyFont="1" applyBorder="1" applyAlignment="1" applyProtection="1">
      <alignment horizontal="centerContinuous" vertical="center"/>
    </xf>
    <xf numFmtId="169" fontId="0" fillId="0" borderId="0" xfId="0" applyNumberFormat="1" applyFont="1" applyBorder="1"/>
    <xf numFmtId="0" fontId="0" fillId="0" borderId="0" xfId="3" applyFont="1" applyAlignment="1" applyProtection="1">
      <alignment horizontal="centerContinuous"/>
    </xf>
    <xf numFmtId="0" fontId="0" fillId="0" borderId="12" xfId="3" applyFont="1" applyBorder="1" applyAlignment="1" applyProtection="1">
      <alignment horizontal="centerContinuous" vertical="center"/>
    </xf>
    <xf numFmtId="169" fontId="0" fillId="0" borderId="0" xfId="0" applyNumberFormat="1" applyAlignment="1">
      <alignment horizontal="center"/>
    </xf>
    <xf numFmtId="1" fontId="4" fillId="0" borderId="0" xfId="3" applyNumberFormat="1" applyFont="1" applyBorder="1" applyAlignment="1" applyProtection="1">
      <alignment horizontal="center"/>
      <protection locked="0"/>
    </xf>
    <xf numFmtId="0" fontId="0" fillId="0" borderId="10" xfId="3" applyFont="1" applyBorder="1"/>
    <xf numFmtId="168" fontId="0" fillId="0" borderId="0" xfId="0" applyNumberFormat="1" applyBorder="1" applyAlignment="1">
      <alignment horizontal="center"/>
    </xf>
    <xf numFmtId="187" fontId="0" fillId="0" borderId="0" xfId="3" applyNumberFormat="1" applyFont="1" applyAlignment="1" applyProtection="1">
      <alignment horizontal="center"/>
    </xf>
    <xf numFmtId="2" fontId="0" fillId="0" borderId="0" xfId="3" applyNumberFormat="1" applyFont="1" applyAlignment="1" applyProtection="1">
      <alignment horizontal="right"/>
    </xf>
    <xf numFmtId="181" fontId="0" fillId="0" borderId="0" xfId="3" applyNumberFormat="1" applyFont="1" applyBorder="1" applyAlignment="1" applyProtection="1">
      <alignment horizontal="centerContinuous"/>
    </xf>
    <xf numFmtId="0" fontId="0" fillId="0" borderId="0" xfId="3" applyFont="1" applyAlignment="1"/>
    <xf numFmtId="184" fontId="0" fillId="0" borderId="0" xfId="0" applyNumberFormat="1" applyAlignment="1">
      <alignment horizontal="center"/>
    </xf>
    <xf numFmtId="0" fontId="0" fillId="0" borderId="10" xfId="3" applyFont="1" applyBorder="1" applyAlignment="1" applyProtection="1">
      <alignment horizontal="left"/>
    </xf>
    <xf numFmtId="168" fontId="0" fillId="0" borderId="0" xfId="3" applyNumberFormat="1" applyFont="1" applyBorder="1" applyProtection="1"/>
    <xf numFmtId="0" fontId="7" fillId="0" borderId="0" xfId="3" applyFont="1" applyAlignment="1" applyProtection="1"/>
    <xf numFmtId="169" fontId="4" fillId="0" borderId="8" xfId="3" applyNumberFormat="1" applyFont="1" applyBorder="1" applyProtection="1">
      <protection locked="0"/>
    </xf>
    <xf numFmtId="0" fontId="2" fillId="0" borderId="0" xfId="3" applyFont="1" applyAlignment="1" applyProtection="1">
      <alignment horizontal="centerContinuous"/>
    </xf>
    <xf numFmtId="0" fontId="0" fillId="0" borderId="0" xfId="0" applyFont="1" applyBorder="1" applyAlignment="1">
      <alignment horizontal="center"/>
    </xf>
    <xf numFmtId="177" fontId="0" fillId="0" borderId="0" xfId="3" applyNumberFormat="1" applyFont="1" applyBorder="1" applyAlignment="1" applyProtection="1">
      <alignment horizontal="center"/>
    </xf>
    <xf numFmtId="186" fontId="0" fillId="0" borderId="0" xfId="3" applyNumberFormat="1" applyFont="1" applyAlignment="1" applyProtection="1">
      <alignment horizontal="center"/>
    </xf>
    <xf numFmtId="175" fontId="0" fillId="0" borderId="4" xfId="3" applyNumberFormat="1" applyFont="1" applyBorder="1" applyAlignment="1" applyProtection="1">
      <alignment horizontal="center"/>
      <protection locked="0"/>
    </xf>
    <xf numFmtId="0" fontId="0" fillId="0" borderId="12" xfId="3" applyFont="1" applyBorder="1"/>
    <xf numFmtId="0" fontId="0" fillId="0" borderId="0" xfId="3" applyFont="1" applyAlignment="1" applyProtection="1">
      <alignment horizontal="center"/>
    </xf>
    <xf numFmtId="1" fontId="0" fillId="0" borderId="0" xfId="3" applyNumberFormat="1" applyFont="1" applyBorder="1" applyProtection="1"/>
    <xf numFmtId="169" fontId="0" fillId="0" borderId="5" xfId="3" applyNumberFormat="1" applyFont="1" applyBorder="1" applyAlignment="1" applyProtection="1">
      <alignment horizontal="center"/>
    </xf>
    <xf numFmtId="181" fontId="0" fillId="0" borderId="0" xfId="3" applyNumberFormat="1" applyFont="1" applyBorder="1" applyAlignment="1" applyProtection="1">
      <alignment horizontal="center"/>
    </xf>
    <xf numFmtId="0" fontId="0" fillId="0" borderId="10" xfId="3" applyFont="1" applyBorder="1" applyProtection="1"/>
    <xf numFmtId="2" fontId="0" fillId="0" borderId="0" xfId="0" applyNumberFormat="1" applyAlignment="1">
      <alignment horizontal="center"/>
    </xf>
    <xf numFmtId="0" fontId="2" fillId="0" borderId="0" xfId="3" applyFont="1" applyAlignment="1" applyProtection="1">
      <alignment horizontal="center"/>
    </xf>
    <xf numFmtId="0" fontId="0" fillId="0" borderId="0" xfId="3" applyFont="1" applyAlignment="1">
      <alignment horizontal="right"/>
    </xf>
    <xf numFmtId="169" fontId="0" fillId="0" borderId="0" xfId="0" applyNumberFormat="1" applyBorder="1" applyAlignment="1">
      <alignment horizontal="center"/>
    </xf>
    <xf numFmtId="169" fontId="0" fillId="0" borderId="0" xfId="3" applyNumberFormat="1" applyFont="1" applyBorder="1" applyAlignment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169" fontId="0" fillId="0" borderId="0" xfId="0" applyNumberFormat="1" applyFont="1" applyAlignment="1">
      <alignment horizontal="right"/>
    </xf>
    <xf numFmtId="0" fontId="7" fillId="0" borderId="0" xfId="3" applyFont="1" applyAlignment="1" applyProtection="1">
      <alignment horizontal="center"/>
    </xf>
    <xf numFmtId="192" fontId="0" fillId="0" borderId="2" xfId="3" applyNumberFormat="1" applyFont="1" applyBorder="1" applyAlignment="1" applyProtection="1">
      <alignment horizontal="center"/>
    </xf>
    <xf numFmtId="192" fontId="0" fillId="0" borderId="7" xfId="3" applyNumberFormat="1" applyFont="1" applyBorder="1" applyAlignment="1" applyProtection="1">
      <alignment horizontal="center"/>
    </xf>
    <xf numFmtId="0" fontId="0" fillId="0" borderId="6" xfId="0" applyFont="1" applyBorder="1" applyAlignment="1">
      <alignment horizontal="center"/>
    </xf>
    <xf numFmtId="0" fontId="0" fillId="0" borderId="8" xfId="0" applyFont="1" applyBorder="1" applyAlignment="1">
      <alignment horizontal="center"/>
    </xf>
    <xf numFmtId="2" fontId="0" fillId="0" borderId="1" xfId="3" applyNumberFormat="1" applyFont="1" applyBorder="1" applyAlignment="1" applyProtection="1">
      <alignment horizontal="center"/>
    </xf>
    <xf numFmtId="2" fontId="0" fillId="0" borderId="11" xfId="3" applyNumberFormat="1" applyFont="1" applyBorder="1" applyAlignment="1" applyProtection="1">
      <alignment horizontal="center"/>
    </xf>
    <xf numFmtId="0" fontId="0" fillId="0" borderId="0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1" xfId="0" applyBorder="1" applyAlignment="1">
      <alignment horizontal="center"/>
    </xf>
  </cellXfs>
  <cellStyles count="4">
    <cellStyle name="Normal" xfId="0" builtinId="0"/>
    <cellStyle name="Normal 2" xfId="1"/>
    <cellStyle name="Normal_Core Data H-3258" xfId="2"/>
    <cellStyle name="Normal_HG-DATA_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5492957746478872"/>
          <c:y val="7.0234113712374549E-2"/>
          <c:w val="0.76760563380283331"/>
          <c:h val="0.81605351170568552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1.1361215650074557E-3</c:v>
                </c:pt>
                <c:pt idx="42">
                  <c:v>2.6272811190797413E-3</c:v>
                </c:pt>
                <c:pt idx="43">
                  <c:v>4.9705318469076189E-3</c:v>
                </c:pt>
                <c:pt idx="44">
                  <c:v>8.0948661506781219E-3</c:v>
                </c:pt>
                <c:pt idx="45">
                  <c:v>1.2355322019456079E-2</c:v>
                </c:pt>
                <c:pt idx="46">
                  <c:v>1.9882127387630476E-2</c:v>
                </c:pt>
                <c:pt idx="47">
                  <c:v>3.124334303770503E-2</c:v>
                </c:pt>
                <c:pt idx="48">
                  <c:v>5.275864517503373E-2</c:v>
                </c:pt>
                <c:pt idx="49">
                  <c:v>8.4215011006177648E-2</c:v>
                </c:pt>
                <c:pt idx="50">
                  <c:v>0.13491443584463536</c:v>
                </c:pt>
                <c:pt idx="51">
                  <c:v>0.19463182560533976</c:v>
                </c:pt>
                <c:pt idx="52">
                  <c:v>0.2677696513526947</c:v>
                </c:pt>
                <c:pt idx="53">
                  <c:v>0.33707306681814952</c:v>
                </c:pt>
                <c:pt idx="54">
                  <c:v>0.38173684584250511</c:v>
                </c:pt>
                <c:pt idx="55">
                  <c:v>0.41411631044521763</c:v>
                </c:pt>
                <c:pt idx="56">
                  <c:v>0.44138322800539659</c:v>
                </c:pt>
                <c:pt idx="57">
                  <c:v>0.4655968188596179</c:v>
                </c:pt>
                <c:pt idx="58">
                  <c:v>0.48789320457288932</c:v>
                </c:pt>
                <c:pt idx="59">
                  <c:v>0.50727827877582898</c:v>
                </c:pt>
                <c:pt idx="60">
                  <c:v>0.5262373073918909</c:v>
                </c:pt>
                <c:pt idx="61">
                  <c:v>0.54427323723638421</c:v>
                </c:pt>
                <c:pt idx="62">
                  <c:v>0.56273521266775539</c:v>
                </c:pt>
                <c:pt idx="63">
                  <c:v>0.58070013491443573</c:v>
                </c:pt>
                <c:pt idx="64">
                  <c:v>0.59802598878079949</c:v>
                </c:pt>
                <c:pt idx="65">
                  <c:v>0.61513881985372432</c:v>
                </c:pt>
                <c:pt idx="66">
                  <c:v>0.63196762053539723</c:v>
                </c:pt>
                <c:pt idx="67">
                  <c:v>0.64801533764112751</c:v>
                </c:pt>
                <c:pt idx="68">
                  <c:v>0.66406305474685789</c:v>
                </c:pt>
                <c:pt idx="69">
                  <c:v>0.67989774905914924</c:v>
                </c:pt>
                <c:pt idx="70">
                  <c:v>0.695093374991124</c:v>
                </c:pt>
                <c:pt idx="71">
                  <c:v>0.70964993254278197</c:v>
                </c:pt>
                <c:pt idx="72">
                  <c:v>0.72456152808350482</c:v>
                </c:pt>
                <c:pt idx="73">
                  <c:v>0.73791095647234239</c:v>
                </c:pt>
                <c:pt idx="74">
                  <c:v>0.75168643044805783</c:v>
                </c:pt>
                <c:pt idx="75">
                  <c:v>0.76347369168501023</c:v>
                </c:pt>
                <c:pt idx="76">
                  <c:v>0.77604203649790515</c:v>
                </c:pt>
                <c:pt idx="77">
                  <c:v>0.78790030533267053</c:v>
                </c:pt>
                <c:pt idx="78">
                  <c:v>0.79940353617837101</c:v>
                </c:pt>
                <c:pt idx="79">
                  <c:v>0.81055172903500661</c:v>
                </c:pt>
                <c:pt idx="80">
                  <c:v>0.82091883831569967</c:v>
                </c:pt>
                <c:pt idx="81">
                  <c:v>0.83100191720514083</c:v>
                </c:pt>
                <c:pt idx="82">
                  <c:v>0.84094298089895603</c:v>
                </c:pt>
                <c:pt idx="83">
                  <c:v>0.85045799900589358</c:v>
                </c:pt>
                <c:pt idx="84">
                  <c:v>0.85933394873251423</c:v>
                </c:pt>
                <c:pt idx="85">
                  <c:v>0.86856493644819999</c:v>
                </c:pt>
                <c:pt idx="86">
                  <c:v>0.87729887097919479</c:v>
                </c:pt>
                <c:pt idx="87">
                  <c:v>0.88581978271675066</c:v>
                </c:pt>
                <c:pt idx="88">
                  <c:v>0.89398565646524164</c:v>
                </c:pt>
                <c:pt idx="89">
                  <c:v>0.90243556060498464</c:v>
                </c:pt>
                <c:pt idx="90">
                  <c:v>0.91038841156003691</c:v>
                </c:pt>
                <c:pt idx="91">
                  <c:v>0.91734715614570761</c:v>
                </c:pt>
                <c:pt idx="92">
                  <c:v>0.92402187034012628</c:v>
                </c:pt>
                <c:pt idx="93">
                  <c:v>0.9311936377192358</c:v>
                </c:pt>
                <c:pt idx="94">
                  <c:v>0.93722928353333801</c:v>
                </c:pt>
                <c:pt idx="95">
                  <c:v>0.94361996733650488</c:v>
                </c:pt>
                <c:pt idx="96">
                  <c:v>0.94915855996591625</c:v>
                </c:pt>
                <c:pt idx="97">
                  <c:v>0.95441312220407581</c:v>
                </c:pt>
                <c:pt idx="98">
                  <c:v>0.95988070723567409</c:v>
                </c:pt>
                <c:pt idx="99">
                  <c:v>0.96463821628914292</c:v>
                </c:pt>
                <c:pt idx="100">
                  <c:v>0.96904068735354676</c:v>
                </c:pt>
                <c:pt idx="101">
                  <c:v>0.97358517361357655</c:v>
                </c:pt>
                <c:pt idx="102">
                  <c:v>0.97749059149328976</c:v>
                </c:pt>
                <c:pt idx="103">
                  <c:v>0.98111197898175095</c:v>
                </c:pt>
                <c:pt idx="104">
                  <c:v>0.98359724490520473</c:v>
                </c:pt>
                <c:pt idx="105">
                  <c:v>0.98551445004615479</c:v>
                </c:pt>
                <c:pt idx="106">
                  <c:v>0.98878079954555131</c:v>
                </c:pt>
                <c:pt idx="107">
                  <c:v>0.99105304267556615</c:v>
                </c:pt>
                <c:pt idx="108">
                  <c:v>0.99282823262089048</c:v>
                </c:pt>
                <c:pt idx="109">
                  <c:v>0.99502946815309234</c:v>
                </c:pt>
                <c:pt idx="110">
                  <c:v>0.99687566569622932</c:v>
                </c:pt>
                <c:pt idx="111">
                  <c:v>0.99687566569622932</c:v>
                </c:pt>
                <c:pt idx="112">
                  <c:v>0.99829581765248865</c:v>
                </c:pt>
                <c:pt idx="113">
                  <c:v>0.9993609316196832</c:v>
                </c:pt>
                <c:pt idx="114">
                  <c:v>0.99943193921749618</c:v>
                </c:pt>
                <c:pt idx="115">
                  <c:v>0.99971596960874798</c:v>
                </c:pt>
                <c:pt idx="116">
                  <c:v>0.99971596960874798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Table!$A$18:$A$136</c:f>
              <c:numCache>
                <c:formatCode>????0.00</c:formatCode>
                <c:ptCount val="119"/>
                <c:pt idx="0">
                  <c:v>1.5251665115356445</c:v>
                </c:pt>
                <c:pt idx="1">
                  <c:v>1.6010434627532959</c:v>
                </c:pt>
                <c:pt idx="2">
                  <c:v>1.822029709815979</c:v>
                </c:pt>
                <c:pt idx="3">
                  <c:v>2.0197198390960693</c:v>
                </c:pt>
                <c:pt idx="4">
                  <c:v>2.1800045967102051</c:v>
                </c:pt>
                <c:pt idx="5">
                  <c:v>2.3738393783569336</c:v>
                </c:pt>
                <c:pt idx="6">
                  <c:v>2.593677282333374</c:v>
                </c:pt>
                <c:pt idx="7">
                  <c:v>2.8300850391387939</c:v>
                </c:pt>
                <c:pt idx="8">
                  <c:v>3.0941364765167236</c:v>
                </c:pt>
                <c:pt idx="9">
                  <c:v>3.3660628795623779</c:v>
                </c:pt>
                <c:pt idx="10">
                  <c:v>3.7039406299591064</c:v>
                </c:pt>
                <c:pt idx="11">
                  <c:v>4.0441150665283203</c:v>
                </c:pt>
                <c:pt idx="12">
                  <c:v>4.420710563659668</c:v>
                </c:pt>
                <c:pt idx="13">
                  <c:v>4.835777759552002</c:v>
                </c:pt>
                <c:pt idx="14">
                  <c:v>5.2756175994873047</c:v>
                </c:pt>
                <c:pt idx="15">
                  <c:v>5.7682843208312988</c:v>
                </c:pt>
                <c:pt idx="16">
                  <c:v>6.3048362731933594</c:v>
                </c:pt>
                <c:pt idx="17">
                  <c:v>6.9050431251525879</c:v>
                </c:pt>
                <c:pt idx="18">
                  <c:v>7.5520882606506348</c:v>
                </c:pt>
                <c:pt idx="19">
                  <c:v>8.2457265853881836</c:v>
                </c:pt>
                <c:pt idx="20">
                  <c:v>9.0223779678344727</c:v>
                </c:pt>
                <c:pt idx="21">
                  <c:v>9.8756437301635742</c:v>
                </c:pt>
                <c:pt idx="22">
                  <c:v>10.786002159118652</c:v>
                </c:pt>
                <c:pt idx="23">
                  <c:v>11.88691520690918</c:v>
                </c:pt>
                <c:pt idx="24">
                  <c:v>12.87938404083252</c:v>
                </c:pt>
                <c:pt idx="25">
                  <c:v>14.18340015411377</c:v>
                </c:pt>
                <c:pt idx="26">
                  <c:v>15.473307609558105</c:v>
                </c:pt>
                <c:pt idx="27">
                  <c:v>16.871246337890625</c:v>
                </c:pt>
                <c:pt idx="28">
                  <c:v>18.465974807739258</c:v>
                </c:pt>
                <c:pt idx="29">
                  <c:v>20.259786605834961</c:v>
                </c:pt>
                <c:pt idx="30">
                  <c:v>22.160892486572266</c:v>
                </c:pt>
                <c:pt idx="31">
                  <c:v>24.256324768066406</c:v>
                </c:pt>
                <c:pt idx="32">
                  <c:v>26.599403381347656</c:v>
                </c:pt>
                <c:pt idx="33">
                  <c:v>28.96766471862793</c:v>
                </c:pt>
                <c:pt idx="34">
                  <c:v>29.789762496948242</c:v>
                </c:pt>
                <c:pt idx="35">
                  <c:v>32.547290802001953</c:v>
                </c:pt>
                <c:pt idx="36">
                  <c:v>36.365528106689453</c:v>
                </c:pt>
                <c:pt idx="37">
                  <c:v>40.300357818603516</c:v>
                </c:pt>
                <c:pt idx="38">
                  <c:v>44.236320495605469</c:v>
                </c:pt>
                <c:pt idx="39">
                  <c:v>49.353641510009766</c:v>
                </c:pt>
                <c:pt idx="40">
                  <c:v>52.029392242431641</c:v>
                </c:pt>
                <c:pt idx="41">
                  <c:v>58.829620361328125</c:v>
                </c:pt>
                <c:pt idx="42">
                  <c:v>63.844455718994141</c:v>
                </c:pt>
                <c:pt idx="43">
                  <c:v>70.829780578613281</c:v>
                </c:pt>
                <c:pt idx="44">
                  <c:v>75.756050109863281</c:v>
                </c:pt>
                <c:pt idx="45">
                  <c:v>82.74456787109375</c:v>
                </c:pt>
                <c:pt idx="46">
                  <c:v>92.042472839355469</c:v>
                </c:pt>
                <c:pt idx="47">
                  <c:v>101.33615875244141</c:v>
                </c:pt>
                <c:pt idx="48">
                  <c:v>110.55809020996094</c:v>
                </c:pt>
                <c:pt idx="49">
                  <c:v>121.01509094238281</c:v>
                </c:pt>
                <c:pt idx="50">
                  <c:v>132.60713195800781</c:v>
                </c:pt>
                <c:pt idx="51">
                  <c:v>144.85725402832031</c:v>
                </c:pt>
                <c:pt idx="52">
                  <c:v>158.28253173828125</c:v>
                </c:pt>
                <c:pt idx="53">
                  <c:v>173.85716247558594</c:v>
                </c:pt>
                <c:pt idx="54">
                  <c:v>190.02742004394531</c:v>
                </c:pt>
                <c:pt idx="55">
                  <c:v>207.82868957519531</c:v>
                </c:pt>
                <c:pt idx="56">
                  <c:v>227.32835388183594</c:v>
                </c:pt>
                <c:pt idx="57">
                  <c:v>250.06832885742188</c:v>
                </c:pt>
                <c:pt idx="58">
                  <c:v>273.1697998046875</c:v>
                </c:pt>
                <c:pt idx="59">
                  <c:v>299.19882202148437</c:v>
                </c:pt>
                <c:pt idx="60">
                  <c:v>327.37091064453125</c:v>
                </c:pt>
                <c:pt idx="61">
                  <c:v>357.63165283203125</c:v>
                </c:pt>
                <c:pt idx="62">
                  <c:v>391.69168090820312</c:v>
                </c:pt>
                <c:pt idx="63">
                  <c:v>428.64453125</c:v>
                </c:pt>
                <c:pt idx="64">
                  <c:v>469.18609619140625</c:v>
                </c:pt>
                <c:pt idx="65">
                  <c:v>513.0238037109375</c:v>
                </c:pt>
                <c:pt idx="66">
                  <c:v>561.31060791015625</c:v>
                </c:pt>
                <c:pt idx="67">
                  <c:v>613.4918212890625</c:v>
                </c:pt>
                <c:pt idx="68">
                  <c:v>671.8355712890625</c:v>
                </c:pt>
                <c:pt idx="69">
                  <c:v>734.88519287109375</c:v>
                </c:pt>
                <c:pt idx="70">
                  <c:v>804.34393310546875</c:v>
                </c:pt>
                <c:pt idx="71">
                  <c:v>879.191162109375</c:v>
                </c:pt>
                <c:pt idx="72">
                  <c:v>962.5634765625</c:v>
                </c:pt>
                <c:pt idx="73">
                  <c:v>1048.7110595703125</c:v>
                </c:pt>
                <c:pt idx="74">
                  <c:v>1148.220458984375</c:v>
                </c:pt>
                <c:pt idx="75">
                  <c:v>1258.919677734375</c:v>
                </c:pt>
                <c:pt idx="76">
                  <c:v>1378.8270263671875</c:v>
                </c:pt>
                <c:pt idx="77">
                  <c:v>1508.72509765625</c:v>
                </c:pt>
                <c:pt idx="78">
                  <c:v>1646.81640625</c:v>
                </c:pt>
                <c:pt idx="79">
                  <c:v>1809.461669921875</c:v>
                </c:pt>
                <c:pt idx="80">
                  <c:v>1977.94140625</c:v>
                </c:pt>
                <c:pt idx="81">
                  <c:v>2157.510009765625</c:v>
                </c:pt>
                <c:pt idx="82">
                  <c:v>2367.6796875</c:v>
                </c:pt>
                <c:pt idx="83">
                  <c:v>2587.6376953125</c:v>
                </c:pt>
                <c:pt idx="84">
                  <c:v>2827.42529296875</c:v>
                </c:pt>
                <c:pt idx="85">
                  <c:v>3097.25341796875</c:v>
                </c:pt>
                <c:pt idx="86">
                  <c:v>3385.676513671875</c:v>
                </c:pt>
                <c:pt idx="87">
                  <c:v>3706.512451171875</c:v>
                </c:pt>
                <c:pt idx="88">
                  <c:v>4056.633544921875</c:v>
                </c:pt>
                <c:pt idx="89">
                  <c:v>4435.4072265625</c:v>
                </c:pt>
                <c:pt idx="90">
                  <c:v>4846.27099609375</c:v>
                </c:pt>
                <c:pt idx="91">
                  <c:v>5304.39208984375</c:v>
                </c:pt>
                <c:pt idx="92">
                  <c:v>5802.82958984375</c:v>
                </c:pt>
                <c:pt idx="93">
                  <c:v>6354.45751953125</c:v>
                </c:pt>
                <c:pt idx="94">
                  <c:v>6942.32373046875</c:v>
                </c:pt>
                <c:pt idx="95">
                  <c:v>7602.279296875</c:v>
                </c:pt>
                <c:pt idx="96">
                  <c:v>8312.2763671875</c:v>
                </c:pt>
                <c:pt idx="97">
                  <c:v>9092.6796875</c:v>
                </c:pt>
                <c:pt idx="98">
                  <c:v>9952.1494140625</c:v>
                </c:pt>
                <c:pt idx="99">
                  <c:v>10890.7373046875</c:v>
                </c:pt>
                <c:pt idx="100">
                  <c:v>11893.5537109375</c:v>
                </c:pt>
                <c:pt idx="101">
                  <c:v>12993.28515625</c:v>
                </c:pt>
                <c:pt idx="102">
                  <c:v>14291.5283203125</c:v>
                </c:pt>
                <c:pt idx="103">
                  <c:v>15592.9521484375</c:v>
                </c:pt>
                <c:pt idx="104">
                  <c:v>17093.080078125</c:v>
                </c:pt>
                <c:pt idx="105">
                  <c:v>18689.7109375</c:v>
                </c:pt>
                <c:pt idx="106">
                  <c:v>20388.09765625</c:v>
                </c:pt>
                <c:pt idx="107">
                  <c:v>22293.357421875</c:v>
                </c:pt>
                <c:pt idx="108">
                  <c:v>24394.859375</c:v>
                </c:pt>
                <c:pt idx="109">
                  <c:v>26696.29296875</c:v>
                </c:pt>
                <c:pt idx="110">
                  <c:v>29294.11328125</c:v>
                </c:pt>
                <c:pt idx="111">
                  <c:v>31996.6171875</c:v>
                </c:pt>
                <c:pt idx="112">
                  <c:v>34997.03515625</c:v>
                </c:pt>
                <c:pt idx="113">
                  <c:v>38286.2265625</c:v>
                </c:pt>
                <c:pt idx="114">
                  <c:v>41872.48046875</c:v>
                </c:pt>
                <c:pt idx="115">
                  <c:v>45770.72265625</c:v>
                </c:pt>
                <c:pt idx="116">
                  <c:v>50071.546875</c:v>
                </c:pt>
                <c:pt idx="117">
                  <c:v>54771.05078125</c:v>
                </c:pt>
                <c:pt idx="118">
                  <c:v>59468.6875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59302400"/>
        <c:axId val="159304704"/>
      </c:scatterChart>
      <c:valAx>
        <c:axId val="15930240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169014084507044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59304704"/>
        <c:crossesAt val="1.0000000000000041E-3"/>
        <c:crossBetween val="midCat"/>
        <c:majorUnit val="0.2"/>
        <c:minorUnit val="0.1"/>
      </c:valAx>
      <c:valAx>
        <c:axId val="159304704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Injection Pressure, psi.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3377926421404727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/>
            </a:pPr>
            <a:endParaRPr lang="en-US"/>
          </a:p>
        </c:txPr>
        <c:crossAx val="159302400"/>
        <c:crosses val="max"/>
        <c:crossBetween val="midCat"/>
        <c:majorUnit val="10"/>
        <c:minorUnit val="10"/>
      </c:valAx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chemeClr val="dk1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landscape" horizontalDpi="300" verticalDpi="30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4041119369915644"/>
          <c:y val="5.3511705685618735E-2"/>
          <c:w val="0.71747821581027194"/>
          <c:h val="0.81040704360115523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660066"/>
              </a:solidFill>
            </a:ln>
          </c:spPr>
          <c:marker>
            <c:symbol val="circle"/>
            <c:size val="5"/>
            <c:spPr>
              <a:solidFill>
                <a:srgbClr val="660066"/>
              </a:solidFill>
              <a:ln>
                <a:solidFill>
                  <a:srgbClr val="660066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0.99886387843499258</c:v>
                </c:pt>
                <c:pt idx="42">
                  <c:v>0.99737271888092027</c:v>
                </c:pt>
                <c:pt idx="43">
                  <c:v>0.99502946815309234</c:v>
                </c:pt>
                <c:pt idx="44">
                  <c:v>0.99190513384932189</c:v>
                </c:pt>
                <c:pt idx="45">
                  <c:v>0.98764467798054389</c:v>
                </c:pt>
                <c:pt idx="46">
                  <c:v>0.98011787261236949</c:v>
                </c:pt>
                <c:pt idx="47">
                  <c:v>0.96875665696229496</c:v>
                </c:pt>
                <c:pt idx="48">
                  <c:v>0.9472413548249663</c:v>
                </c:pt>
                <c:pt idx="49">
                  <c:v>0.91578498899382232</c:v>
                </c:pt>
                <c:pt idx="50">
                  <c:v>0.86508556415536464</c:v>
                </c:pt>
                <c:pt idx="51">
                  <c:v>0.80536817439466024</c:v>
                </c:pt>
                <c:pt idx="52">
                  <c:v>0.7322303486473053</c:v>
                </c:pt>
                <c:pt idx="53">
                  <c:v>0.66292693318185048</c:v>
                </c:pt>
                <c:pt idx="54">
                  <c:v>0.61826315415749489</c:v>
                </c:pt>
                <c:pt idx="55">
                  <c:v>0.58588368955478232</c:v>
                </c:pt>
                <c:pt idx="56">
                  <c:v>0.55861677199460336</c:v>
                </c:pt>
                <c:pt idx="57">
                  <c:v>0.5344031811403821</c:v>
                </c:pt>
                <c:pt idx="58">
                  <c:v>0.51210679542711068</c:v>
                </c:pt>
                <c:pt idx="59">
                  <c:v>0.49272172122417102</c:v>
                </c:pt>
                <c:pt idx="60">
                  <c:v>0.4737626926081091</c:v>
                </c:pt>
                <c:pt idx="61">
                  <c:v>0.45572676276361579</c:v>
                </c:pt>
                <c:pt idx="62">
                  <c:v>0.43726478733224461</c:v>
                </c:pt>
                <c:pt idx="63">
                  <c:v>0.41929986508556427</c:v>
                </c:pt>
                <c:pt idx="64">
                  <c:v>0.40197401121920051</c:v>
                </c:pt>
                <c:pt idx="65">
                  <c:v>0.38486118014627568</c:v>
                </c:pt>
                <c:pt idx="66">
                  <c:v>0.36803237946460277</c:v>
                </c:pt>
                <c:pt idx="67">
                  <c:v>0.35198466235887249</c:v>
                </c:pt>
                <c:pt idx="68">
                  <c:v>0.33593694525314211</c:v>
                </c:pt>
                <c:pt idx="69">
                  <c:v>0.32010225094085076</c:v>
                </c:pt>
                <c:pt idx="70">
                  <c:v>0.304906625008876</c:v>
                </c:pt>
                <c:pt idx="71">
                  <c:v>0.29035006745721803</c:v>
                </c:pt>
                <c:pt idx="72">
                  <c:v>0.27543847191649518</c:v>
                </c:pt>
                <c:pt idx="73">
                  <c:v>0.26208904352765761</c:v>
                </c:pt>
                <c:pt idx="74">
                  <c:v>0.24831356955194217</c:v>
                </c:pt>
                <c:pt idx="75">
                  <c:v>0.23652630831498977</c:v>
                </c:pt>
                <c:pt idx="76">
                  <c:v>0.22395796350209485</c:v>
                </c:pt>
                <c:pt idx="77">
                  <c:v>0.21209969466732947</c:v>
                </c:pt>
                <c:pt idx="78">
                  <c:v>0.20059646382162899</c:v>
                </c:pt>
                <c:pt idx="79">
                  <c:v>0.18944827096499339</c:v>
                </c:pt>
                <c:pt idx="80">
                  <c:v>0.17908116168430033</c:v>
                </c:pt>
                <c:pt idx="81">
                  <c:v>0.16899808279485917</c:v>
                </c:pt>
                <c:pt idx="82">
                  <c:v>0.15905701910104397</c:v>
                </c:pt>
                <c:pt idx="83">
                  <c:v>0.14954200099410642</c:v>
                </c:pt>
                <c:pt idx="84">
                  <c:v>0.14066605126748577</c:v>
                </c:pt>
                <c:pt idx="85">
                  <c:v>0.13143506355180001</c:v>
                </c:pt>
                <c:pt idx="86">
                  <c:v>0.12270112902080521</c:v>
                </c:pt>
                <c:pt idx="87">
                  <c:v>0.11418021728324934</c:v>
                </c:pt>
                <c:pt idx="88">
                  <c:v>0.10601434353475836</c:v>
                </c:pt>
                <c:pt idx="89">
                  <c:v>9.7564439395015357E-2</c:v>
                </c:pt>
                <c:pt idx="90">
                  <c:v>8.9611588439963086E-2</c:v>
                </c:pt>
                <c:pt idx="91">
                  <c:v>8.265284385429239E-2</c:v>
                </c:pt>
                <c:pt idx="92">
                  <c:v>7.5978129659873717E-2</c:v>
                </c:pt>
                <c:pt idx="93">
                  <c:v>6.8806362280764199E-2</c:v>
                </c:pt>
                <c:pt idx="94">
                  <c:v>6.2770716466661991E-2</c:v>
                </c:pt>
                <c:pt idx="95">
                  <c:v>5.6380032663495117E-2</c:v>
                </c:pt>
                <c:pt idx="96">
                  <c:v>5.0841440034083751E-2</c:v>
                </c:pt>
                <c:pt idx="97">
                  <c:v>4.5586877795924186E-2</c:v>
                </c:pt>
                <c:pt idx="98">
                  <c:v>4.0119292764325909E-2</c:v>
                </c:pt>
                <c:pt idx="99">
                  <c:v>3.5361783710857075E-2</c:v>
                </c:pt>
                <c:pt idx="100">
                  <c:v>3.0959312646453241E-2</c:v>
                </c:pt>
                <c:pt idx="101">
                  <c:v>2.6414826386423451E-2</c:v>
                </c:pt>
                <c:pt idx="102">
                  <c:v>2.2509408506710238E-2</c:v>
                </c:pt>
                <c:pt idx="103">
                  <c:v>1.8888021018249046E-2</c:v>
                </c:pt>
                <c:pt idx="104">
                  <c:v>1.6402755094795274E-2</c:v>
                </c:pt>
                <c:pt idx="105">
                  <c:v>1.4485549953845211E-2</c:v>
                </c:pt>
                <c:pt idx="106">
                  <c:v>1.1219200454448686E-2</c:v>
                </c:pt>
                <c:pt idx="107">
                  <c:v>8.9469573244338463E-3</c:v>
                </c:pt>
                <c:pt idx="108">
                  <c:v>7.1717673791095171E-3</c:v>
                </c:pt>
                <c:pt idx="109">
                  <c:v>4.9705318469076554E-3</c:v>
                </c:pt>
                <c:pt idx="110">
                  <c:v>3.1243343037706817E-3</c:v>
                </c:pt>
                <c:pt idx="111">
                  <c:v>3.1243343037706817E-3</c:v>
                </c:pt>
                <c:pt idx="112">
                  <c:v>1.7041823475113516E-3</c:v>
                </c:pt>
                <c:pt idx="113">
                  <c:v>6.3906838031679847E-4</c:v>
                </c:pt>
                <c:pt idx="114">
                  <c:v>5.6806078250382086E-4</c:v>
                </c:pt>
                <c:pt idx="115">
                  <c:v>2.8403039125202145E-4</c:v>
                </c:pt>
                <c:pt idx="116">
                  <c:v>2.8403039125202145E-4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Table!$L$18:$L$136</c:f>
              <c:numCache>
                <c:formatCode>????0.00</c:formatCode>
                <c:ptCount val="119"/>
                <c:pt idx="0">
                  <c:v>0.3424570138861659</c:v>
                </c:pt>
                <c:pt idx="1">
                  <c:v>0.35949423175073864</c:v>
                </c:pt>
                <c:pt idx="2">
                  <c:v>0.40911392226098908</c:v>
                </c:pt>
                <c:pt idx="3">
                  <c:v>0.45350276166703163</c:v>
                </c:pt>
                <c:pt idx="4">
                  <c:v>0.48949269394579448</c:v>
                </c:pt>
                <c:pt idx="5">
                  <c:v>0.53301586338857188</c:v>
                </c:pt>
                <c:pt idx="6">
                  <c:v>0.58237770785954923</c:v>
                </c:pt>
                <c:pt idx="7">
                  <c:v>0.63546010498981098</c:v>
                </c:pt>
                <c:pt idx="8">
                  <c:v>0.69474954392834898</c:v>
                </c:pt>
                <c:pt idx="9">
                  <c:v>0.75580720765193676</c:v>
                </c:pt>
                <c:pt idx="10">
                  <c:v>0.83167341936342754</c:v>
                </c:pt>
                <c:pt idx="11">
                  <c:v>0.90805532315346449</c:v>
                </c:pt>
                <c:pt idx="12">
                  <c:v>0.99261511935612545</c:v>
                </c:pt>
                <c:pt idx="13">
                  <c:v>1.0858132530630304</c:v>
                </c:pt>
                <c:pt idx="14">
                  <c:v>1.1845737733296025</c:v>
                </c:pt>
                <c:pt idx="15">
                  <c:v>1.2951959073434656</c:v>
                </c:pt>
                <c:pt idx="16">
                  <c:v>1.4156719196417524</c:v>
                </c:pt>
                <c:pt idx="17">
                  <c:v>1.5504408413832982</c:v>
                </c:pt>
                <c:pt idx="18">
                  <c:v>1.6957267123201858</c:v>
                </c:pt>
                <c:pt idx="19">
                  <c:v>1.8514744996010972</c:v>
                </c:pt>
                <c:pt idx="20">
                  <c:v>2.0258618279691465</c:v>
                </c:pt>
                <c:pt idx="21">
                  <c:v>2.2174519545608411</c:v>
                </c:pt>
                <c:pt idx="22">
                  <c:v>2.4218615234754881</c:v>
                </c:pt>
                <c:pt idx="23">
                  <c:v>2.6690577424083681</c:v>
                </c:pt>
                <c:pt idx="24">
                  <c:v>2.891904173056953</c:v>
                </c:pt>
                <c:pt idx="25">
                  <c:v>3.1847046383413002</c:v>
                </c:pt>
                <c:pt idx="26">
                  <c:v>3.4743371814373303</c:v>
                </c:pt>
                <c:pt idx="27">
                  <c:v>3.7882267920992874</c:v>
                </c:pt>
                <c:pt idx="28">
                  <c:v>4.1463030713861571</c:v>
                </c:pt>
                <c:pt idx="29">
                  <c:v>4.5490810154357577</c:v>
                </c:pt>
                <c:pt idx="30">
                  <c:v>4.9759505002261148</c:v>
                </c:pt>
                <c:pt idx="31">
                  <c:v>5.4464535413652975</c:v>
                </c:pt>
                <c:pt idx="32">
                  <c:v>5.9725624607100576</c:v>
                </c:pt>
                <c:pt idx="33">
                  <c:v>6.5043258449260275</c:v>
                </c:pt>
                <c:pt idx="34">
                  <c:v>6.6889175915691919</c:v>
                </c:pt>
                <c:pt idx="35">
                  <c:v>7.3080859918145205</c:v>
                </c:pt>
                <c:pt idx="36">
                  <c:v>8.1654232961561153</c:v>
                </c:pt>
                <c:pt idx="37">
                  <c:v>9.0489399634188175</c:v>
                </c:pt>
                <c:pt idx="38">
                  <c:v>9.9327110237841083</c:v>
                </c:pt>
                <c:pt idx="39">
                  <c:v>11.081741284044227</c:v>
                </c:pt>
                <c:pt idx="40">
                  <c:v>11.682547555882895</c:v>
                </c:pt>
                <c:pt idx="41">
                  <c:v>13.209453502039059</c:v>
                </c:pt>
                <c:pt idx="42">
                  <c:v>14.335471893295173</c:v>
                </c:pt>
                <c:pt idx="43">
                  <c:v>15.903938991383608</c:v>
                </c:pt>
                <c:pt idx="44">
                  <c:v>17.010071036973603</c:v>
                </c:pt>
                <c:pt idx="45">
                  <c:v>18.579255061078428</c:v>
                </c:pt>
                <c:pt idx="46">
                  <c:v>20.666983021760075</c:v>
                </c:pt>
                <c:pt idx="47">
                  <c:v>22.753763646510865</c:v>
                </c:pt>
                <c:pt idx="48">
                  <c:v>24.824432708097603</c:v>
                </c:pt>
                <c:pt idx="49">
                  <c:v>27.172421087035307</c:v>
                </c:pt>
                <c:pt idx="50">
                  <c:v>29.775268527646787</c:v>
                </c:pt>
                <c:pt idx="51">
                  <c:v>32.525879816453724</c:v>
                </c:pt>
                <c:pt idx="52">
                  <c:v>35.540357567159489</c:v>
                </c:pt>
                <c:pt idx="53">
                  <c:v>39.037445586294375</c:v>
                </c:pt>
                <c:pt idx="54">
                  <c:v>42.668274140912239</c:v>
                </c:pt>
                <c:pt idx="55">
                  <c:v>46.665325978168099</c:v>
                </c:pt>
                <c:pt idx="56">
                  <c:v>51.043731063597839</c:v>
                </c:pt>
                <c:pt idx="57">
                  <c:v>56.14970727477516</c:v>
                </c:pt>
                <c:pt idx="58">
                  <c:v>61.336852873069859</c:v>
                </c:pt>
                <c:pt idx="59">
                  <c:v>67.181343396118308</c:v>
                </c:pt>
                <c:pt idx="60">
                  <c:v>73.507032605666353</c:v>
                </c:pt>
                <c:pt idx="61">
                  <c:v>80.301702780450199</c:v>
                </c:pt>
                <c:pt idx="62">
                  <c:v>87.949454956768676</c:v>
                </c:pt>
                <c:pt idx="63">
                  <c:v>96.246754095531202</c:v>
                </c:pt>
                <c:pt idx="64">
                  <c:v>105.34985409352875</c:v>
                </c:pt>
                <c:pt idx="65">
                  <c:v>115.19306157232275</c:v>
                </c:pt>
                <c:pt idx="66">
                  <c:v>126.03525791685215</c:v>
                </c:pt>
                <c:pt idx="67">
                  <c:v>137.75189500502458</c:v>
                </c:pt>
                <c:pt idx="68">
                  <c:v>150.85225241046189</c:v>
                </c:pt>
                <c:pt idx="69">
                  <c:v>165.0092542658823</c:v>
                </c:pt>
                <c:pt idx="70">
                  <c:v>180.60534334143438</c:v>
                </c:pt>
                <c:pt idx="71">
                  <c:v>197.41134999609383</c:v>
                </c:pt>
                <c:pt idx="72">
                  <c:v>216.13155767994078</c:v>
                </c:pt>
                <c:pt idx="73">
                  <c:v>235.47491711461754</c:v>
                </c:pt>
                <c:pt idx="74">
                  <c:v>257.81850486008528</c:v>
                </c:pt>
                <c:pt idx="75">
                  <c:v>282.67462621203282</c:v>
                </c:pt>
                <c:pt idx="76">
                  <c:v>309.59831765504464</c:v>
                </c:pt>
                <c:pt idx="77">
                  <c:v>338.76530058232811</c:v>
                </c:pt>
                <c:pt idx="78">
                  <c:v>369.77197219947072</c:v>
                </c:pt>
                <c:pt idx="79">
                  <c:v>406.29192651168336</c:v>
                </c:pt>
                <c:pt idx="80">
                  <c:v>444.12193849192596</c:v>
                </c:pt>
                <c:pt idx="81">
                  <c:v>484.44181653970242</c:v>
                </c:pt>
                <c:pt idx="82">
                  <c:v>531.63278205196195</c:v>
                </c:pt>
                <c:pt idx="83">
                  <c:v>581.0215943331699</c:v>
                </c:pt>
                <c:pt idx="84">
                  <c:v>634.86289234174978</c:v>
                </c:pt>
                <c:pt idx="85">
                  <c:v>695.44941404354336</c:v>
                </c:pt>
                <c:pt idx="86">
                  <c:v>760.21120322736499</c:v>
                </c:pt>
                <c:pt idx="87">
                  <c:v>832.25088956495131</c:v>
                </c:pt>
                <c:pt idx="88">
                  <c:v>910.86619048934551</c:v>
                </c:pt>
                <c:pt idx="89">
                  <c:v>995.91507070814396</c:v>
                </c:pt>
                <c:pt idx="90">
                  <c:v>1088.169377738539</c:v>
                </c:pt>
                <c:pt idx="91">
                  <c:v>1191.0347242939945</c:v>
                </c:pt>
                <c:pt idx="92">
                  <c:v>1302.9526142868845</c:v>
                </c:pt>
                <c:pt idx="93">
                  <c:v>1426.8137482340114</c:v>
                </c:pt>
                <c:pt idx="94">
                  <c:v>1558.8117337913584</c:v>
                </c:pt>
                <c:pt idx="95">
                  <c:v>1706.9964800860294</c:v>
                </c:pt>
                <c:pt idx="96">
                  <c:v>1866.4174185397139</c:v>
                </c:pt>
                <c:pt idx="97">
                  <c:v>2041.64719750462</c:v>
                </c:pt>
                <c:pt idx="98">
                  <c:v>2234.6303464644011</c:v>
                </c:pt>
                <c:pt idx="99">
                  <c:v>2445.3784869867882</c:v>
                </c:pt>
                <c:pt idx="100">
                  <c:v>2670.5483352380788</c:v>
                </c:pt>
                <c:pt idx="101">
                  <c:v>2917.4792401523482</c:v>
                </c:pt>
                <c:pt idx="102">
                  <c:v>3208.9834620850243</c:v>
                </c:pt>
                <c:pt idx="103">
                  <c:v>3501.2018622459655</c:v>
                </c:pt>
                <c:pt idx="104">
                  <c:v>3838.0367765732931</c:v>
                </c:pt>
                <c:pt idx="105">
                  <c:v>4196.5402135714812</c:v>
                </c:pt>
                <c:pt idx="106">
                  <c:v>4577.8916527277397</c:v>
                </c:pt>
                <c:pt idx="107">
                  <c:v>5005.6938402780297</c:v>
                </c:pt>
                <c:pt idx="108">
                  <c:v>5477.5597500654894</c:v>
                </c:pt>
                <c:pt idx="109">
                  <c:v>5994.3178025219231</c:v>
                </c:pt>
                <c:pt idx="110">
                  <c:v>6577.6257758499132</c:v>
                </c:pt>
                <c:pt idx="111">
                  <c:v>7184.439137374763</c:v>
                </c:pt>
                <c:pt idx="112">
                  <c:v>7858.1453656566491</c:v>
                </c:pt>
                <c:pt idx="113">
                  <c:v>8596.6920479794007</c:v>
                </c:pt>
                <c:pt idx="114">
                  <c:v>9401.9403893787912</c:v>
                </c:pt>
                <c:pt idx="115">
                  <c:v>10277.241786858449</c:v>
                </c:pt>
                <c:pt idx="116">
                  <c:v>11242.937930894199</c:v>
                </c:pt>
                <c:pt idx="117">
                  <c:v>12298.152599134137</c:v>
                </c:pt>
                <c:pt idx="118">
                  <c:v>13352.948013836325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5628928"/>
        <c:axId val="173221760"/>
      </c:scatterChart>
      <c:scatterChart>
        <c:scatterStyle val="lineMarker"/>
        <c:varyColors val="0"/>
        <c:ser>
          <c:idx val="1"/>
          <c:order val="1"/>
          <c:spPr>
            <a:ln>
              <a:noFill/>
            </a:ln>
          </c:spPr>
          <c:marker>
            <c:symbol val="none"/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0.99886387843499258</c:v>
                </c:pt>
                <c:pt idx="42">
                  <c:v>0.99737271888092027</c:v>
                </c:pt>
                <c:pt idx="43">
                  <c:v>0.99502946815309234</c:v>
                </c:pt>
                <c:pt idx="44">
                  <c:v>0.99190513384932189</c:v>
                </c:pt>
                <c:pt idx="45">
                  <c:v>0.98764467798054389</c:v>
                </c:pt>
                <c:pt idx="46">
                  <c:v>0.98011787261236949</c:v>
                </c:pt>
                <c:pt idx="47">
                  <c:v>0.96875665696229496</c:v>
                </c:pt>
                <c:pt idx="48">
                  <c:v>0.9472413548249663</c:v>
                </c:pt>
                <c:pt idx="49">
                  <c:v>0.91578498899382232</c:v>
                </c:pt>
                <c:pt idx="50">
                  <c:v>0.86508556415536464</c:v>
                </c:pt>
                <c:pt idx="51">
                  <c:v>0.80536817439466024</c:v>
                </c:pt>
                <c:pt idx="52">
                  <c:v>0.7322303486473053</c:v>
                </c:pt>
                <c:pt idx="53">
                  <c:v>0.66292693318185048</c:v>
                </c:pt>
                <c:pt idx="54">
                  <c:v>0.61826315415749489</c:v>
                </c:pt>
                <c:pt idx="55">
                  <c:v>0.58588368955478232</c:v>
                </c:pt>
                <c:pt idx="56">
                  <c:v>0.55861677199460336</c:v>
                </c:pt>
                <c:pt idx="57">
                  <c:v>0.5344031811403821</c:v>
                </c:pt>
                <c:pt idx="58">
                  <c:v>0.51210679542711068</c:v>
                </c:pt>
                <c:pt idx="59">
                  <c:v>0.49272172122417102</c:v>
                </c:pt>
                <c:pt idx="60">
                  <c:v>0.4737626926081091</c:v>
                </c:pt>
                <c:pt idx="61">
                  <c:v>0.45572676276361579</c:v>
                </c:pt>
                <c:pt idx="62">
                  <c:v>0.43726478733224461</c:v>
                </c:pt>
                <c:pt idx="63">
                  <c:v>0.41929986508556427</c:v>
                </c:pt>
                <c:pt idx="64">
                  <c:v>0.40197401121920051</c:v>
                </c:pt>
                <c:pt idx="65">
                  <c:v>0.38486118014627568</c:v>
                </c:pt>
                <c:pt idx="66">
                  <c:v>0.36803237946460277</c:v>
                </c:pt>
                <c:pt idx="67">
                  <c:v>0.35198466235887249</c:v>
                </c:pt>
                <c:pt idx="68">
                  <c:v>0.33593694525314211</c:v>
                </c:pt>
                <c:pt idx="69">
                  <c:v>0.32010225094085076</c:v>
                </c:pt>
                <c:pt idx="70">
                  <c:v>0.304906625008876</c:v>
                </c:pt>
                <c:pt idx="71">
                  <c:v>0.29035006745721803</c:v>
                </c:pt>
                <c:pt idx="72">
                  <c:v>0.27543847191649518</c:v>
                </c:pt>
                <c:pt idx="73">
                  <c:v>0.26208904352765761</c:v>
                </c:pt>
                <c:pt idx="74">
                  <c:v>0.24831356955194217</c:v>
                </c:pt>
                <c:pt idx="75">
                  <c:v>0.23652630831498977</c:v>
                </c:pt>
                <c:pt idx="76">
                  <c:v>0.22395796350209485</c:v>
                </c:pt>
                <c:pt idx="77">
                  <c:v>0.21209969466732947</c:v>
                </c:pt>
                <c:pt idx="78">
                  <c:v>0.20059646382162899</c:v>
                </c:pt>
                <c:pt idx="79">
                  <c:v>0.18944827096499339</c:v>
                </c:pt>
                <c:pt idx="80">
                  <c:v>0.17908116168430033</c:v>
                </c:pt>
                <c:pt idx="81">
                  <c:v>0.16899808279485917</c:v>
                </c:pt>
                <c:pt idx="82">
                  <c:v>0.15905701910104397</c:v>
                </c:pt>
                <c:pt idx="83">
                  <c:v>0.14954200099410642</c:v>
                </c:pt>
                <c:pt idx="84">
                  <c:v>0.14066605126748577</c:v>
                </c:pt>
                <c:pt idx="85">
                  <c:v>0.13143506355180001</c:v>
                </c:pt>
                <c:pt idx="86">
                  <c:v>0.12270112902080521</c:v>
                </c:pt>
                <c:pt idx="87">
                  <c:v>0.11418021728324934</c:v>
                </c:pt>
                <c:pt idx="88">
                  <c:v>0.10601434353475836</c:v>
                </c:pt>
                <c:pt idx="89">
                  <c:v>9.7564439395015357E-2</c:v>
                </c:pt>
                <c:pt idx="90">
                  <c:v>8.9611588439963086E-2</c:v>
                </c:pt>
                <c:pt idx="91">
                  <c:v>8.265284385429239E-2</c:v>
                </c:pt>
                <c:pt idx="92">
                  <c:v>7.5978129659873717E-2</c:v>
                </c:pt>
                <c:pt idx="93">
                  <c:v>6.8806362280764199E-2</c:v>
                </c:pt>
                <c:pt idx="94">
                  <c:v>6.2770716466661991E-2</c:v>
                </c:pt>
                <c:pt idx="95">
                  <c:v>5.6380032663495117E-2</c:v>
                </c:pt>
                <c:pt idx="96">
                  <c:v>5.0841440034083751E-2</c:v>
                </c:pt>
                <c:pt idx="97">
                  <c:v>4.5586877795924186E-2</c:v>
                </c:pt>
                <c:pt idx="98">
                  <c:v>4.0119292764325909E-2</c:v>
                </c:pt>
                <c:pt idx="99">
                  <c:v>3.5361783710857075E-2</c:v>
                </c:pt>
                <c:pt idx="100">
                  <c:v>3.0959312646453241E-2</c:v>
                </c:pt>
                <c:pt idx="101">
                  <c:v>2.6414826386423451E-2</c:v>
                </c:pt>
                <c:pt idx="102">
                  <c:v>2.2509408506710238E-2</c:v>
                </c:pt>
                <c:pt idx="103">
                  <c:v>1.8888021018249046E-2</c:v>
                </c:pt>
                <c:pt idx="104">
                  <c:v>1.6402755094795274E-2</c:v>
                </c:pt>
                <c:pt idx="105">
                  <c:v>1.4485549953845211E-2</c:v>
                </c:pt>
                <c:pt idx="106">
                  <c:v>1.1219200454448686E-2</c:v>
                </c:pt>
                <c:pt idx="107">
                  <c:v>8.9469573244338463E-3</c:v>
                </c:pt>
                <c:pt idx="108">
                  <c:v>7.1717673791095171E-3</c:v>
                </c:pt>
                <c:pt idx="109">
                  <c:v>4.9705318469076554E-3</c:v>
                </c:pt>
                <c:pt idx="110">
                  <c:v>3.1243343037706817E-3</c:v>
                </c:pt>
                <c:pt idx="111">
                  <c:v>3.1243343037706817E-3</c:v>
                </c:pt>
                <c:pt idx="112">
                  <c:v>1.7041823475113516E-3</c:v>
                </c:pt>
                <c:pt idx="113">
                  <c:v>6.3906838031679847E-4</c:v>
                </c:pt>
                <c:pt idx="114">
                  <c:v>5.6806078250382086E-4</c:v>
                </c:pt>
                <c:pt idx="115">
                  <c:v>2.8403039125202145E-4</c:v>
                </c:pt>
                <c:pt idx="116">
                  <c:v>2.8403039125202145E-4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Table!$O$18:$O$136</c:f>
              <c:numCache>
                <c:formatCode>????0.00</c:formatCode>
                <c:ptCount val="119"/>
                <c:pt idx="0">
                  <c:v>0.73457102935685525</c:v>
                </c:pt>
                <c:pt idx="1">
                  <c:v>0.77111589822123272</c:v>
                </c:pt>
                <c:pt idx="2">
                  <c:v>0.8775502408000625</c:v>
                </c:pt>
                <c:pt idx="3">
                  <c:v>0.97276439654017954</c:v>
                </c:pt>
                <c:pt idx="4">
                  <c:v>1.0499628784766077</c:v>
                </c:pt>
                <c:pt idx="5">
                  <c:v>1.1433201702886571</c:v>
                </c:pt>
                <c:pt idx="6">
                  <c:v>1.2492014325601657</c:v>
                </c:pt>
                <c:pt idx="7">
                  <c:v>1.3630632882664329</c:v>
                </c:pt>
                <c:pt idx="8">
                  <c:v>1.4902392619655707</c:v>
                </c:pt>
                <c:pt idx="9">
                  <c:v>1.6212080816214862</c:v>
                </c:pt>
                <c:pt idx="10">
                  <c:v>1.7839412684758207</c:v>
                </c:pt>
                <c:pt idx="11">
                  <c:v>1.9477806159447975</c:v>
                </c:pt>
                <c:pt idx="12">
                  <c:v>2.1291615601804494</c:v>
                </c:pt>
                <c:pt idx="13">
                  <c:v>2.3290717568919574</c:v>
                </c:pt>
                <c:pt idx="14">
                  <c:v>2.5409132847052822</c:v>
                </c:pt>
                <c:pt idx="15">
                  <c:v>2.7781979994497337</c:v>
                </c:pt>
                <c:pt idx="16">
                  <c:v>3.0366193042508636</c:v>
                </c:pt>
                <c:pt idx="17">
                  <c:v>3.325698930466106</c:v>
                </c:pt>
                <c:pt idx="18">
                  <c:v>3.6373374352642345</c:v>
                </c:pt>
                <c:pt idx="19">
                  <c:v>3.9714167730611272</c:v>
                </c:pt>
                <c:pt idx="20">
                  <c:v>4.3454779664717869</c:v>
                </c:pt>
                <c:pt idx="21">
                  <c:v>4.7564391989722035</c:v>
                </c:pt>
                <c:pt idx="22">
                  <c:v>5.1948981627530859</c:v>
                </c:pt>
                <c:pt idx="23">
                  <c:v>5.7251345826005329</c:v>
                </c:pt>
                <c:pt idx="24">
                  <c:v>6.2031406543478189</c:v>
                </c:pt>
                <c:pt idx="25">
                  <c:v>6.8311982804403701</c:v>
                </c:pt>
                <c:pt idx="26">
                  <c:v>7.4524607066437811</c:v>
                </c:pt>
                <c:pt idx="27">
                  <c:v>8.1257545948075673</c:v>
                </c:pt>
                <c:pt idx="28">
                  <c:v>8.8938289819522911</c:v>
                </c:pt>
                <c:pt idx="29">
                  <c:v>9.7577885358982375</c:v>
                </c:pt>
                <c:pt idx="30">
                  <c:v>10.673424496409515</c:v>
                </c:pt>
                <c:pt idx="31">
                  <c:v>11.682654528883093</c:v>
                </c:pt>
                <c:pt idx="32">
                  <c:v>12.811159289382363</c:v>
                </c:pt>
                <c:pt idx="33">
                  <c:v>13.95179288915922</c:v>
                </c:pt>
                <c:pt idx="34">
                  <c:v>14.347742581658499</c:v>
                </c:pt>
                <c:pt idx="35">
                  <c:v>15.675860128302276</c:v>
                </c:pt>
                <c:pt idx="36">
                  <c:v>17.514850485105352</c:v>
                </c:pt>
                <c:pt idx="37">
                  <c:v>19.409995631528997</c:v>
                </c:pt>
                <c:pt idx="38">
                  <c:v>21.305686451703366</c:v>
                </c:pt>
                <c:pt idx="39">
                  <c:v>23.770358824633696</c:v>
                </c:pt>
                <c:pt idx="40">
                  <c:v>25.059089566458379</c:v>
                </c:pt>
                <c:pt idx="41">
                  <c:v>28.334306096179883</c:v>
                </c:pt>
                <c:pt idx="42">
                  <c:v>30.749617960736114</c:v>
                </c:pt>
                <c:pt idx="43">
                  <c:v>34.113983250501093</c:v>
                </c:pt>
                <c:pt idx="44">
                  <c:v>36.486638860947245</c:v>
                </c:pt>
                <c:pt idx="45">
                  <c:v>39.852541958555193</c:v>
                </c:pt>
                <c:pt idx="46">
                  <c:v>44.330722912398279</c:v>
                </c:pt>
                <c:pt idx="47">
                  <c:v>48.80687182863764</c:v>
                </c:pt>
                <c:pt idx="48">
                  <c:v>53.24846140733078</c:v>
                </c:pt>
                <c:pt idx="49">
                  <c:v>58.284901516592257</c:v>
                </c:pt>
                <c:pt idx="50">
                  <c:v>63.868014859817222</c:v>
                </c:pt>
                <c:pt idx="51">
                  <c:v>69.768081974375221</c:v>
                </c:pt>
                <c:pt idx="52">
                  <c:v>76.234143215700328</c:v>
                </c:pt>
                <c:pt idx="53">
                  <c:v>83.735404518005964</c:v>
                </c:pt>
                <c:pt idx="54">
                  <c:v>91.523539555796319</c:v>
                </c:pt>
                <c:pt idx="55">
                  <c:v>100.0972243203949</c:v>
                </c:pt>
                <c:pt idx="56">
                  <c:v>109.48891262033</c:v>
                </c:pt>
                <c:pt idx="57">
                  <c:v>120.44124254563529</c:v>
                </c:pt>
                <c:pt idx="58">
                  <c:v>131.56768098041584</c:v>
                </c:pt>
                <c:pt idx="59">
                  <c:v>144.10412568879948</c:v>
                </c:pt>
                <c:pt idx="60">
                  <c:v>157.67274261189695</c:v>
                </c:pt>
                <c:pt idx="61">
                  <c:v>172.24732471139041</c:v>
                </c:pt>
                <c:pt idx="62">
                  <c:v>188.65176953403838</c:v>
                </c:pt>
                <c:pt idx="63">
                  <c:v>206.44949398440843</c:v>
                </c:pt>
                <c:pt idx="64">
                  <c:v>225.97566300628219</c:v>
                </c:pt>
                <c:pt idx="65">
                  <c:v>247.08936416199651</c:v>
                </c:pt>
                <c:pt idx="66">
                  <c:v>270.34589857754645</c:v>
                </c:pt>
                <c:pt idx="67">
                  <c:v>295.47811026388803</c:v>
                </c:pt>
                <c:pt idx="68">
                  <c:v>323.57840499884577</c:v>
                </c:pt>
                <c:pt idx="69">
                  <c:v>353.94520434552192</c:v>
                </c:pt>
                <c:pt idx="70">
                  <c:v>387.39884886622565</c:v>
                </c:pt>
                <c:pt idx="71">
                  <c:v>423.44776918939056</c:v>
                </c:pt>
                <c:pt idx="72">
                  <c:v>463.60265482612789</c:v>
                </c:pt>
                <c:pt idx="73">
                  <c:v>505.09420230505702</c:v>
                </c:pt>
                <c:pt idx="74">
                  <c:v>553.02124594612894</c:v>
                </c:pt>
                <c:pt idx="75">
                  <c:v>606.33767956249005</c:v>
                </c:pt>
                <c:pt idx="76">
                  <c:v>664.08905545912626</c:v>
                </c:pt>
                <c:pt idx="77">
                  <c:v>726.65229640139023</c:v>
                </c:pt>
                <c:pt idx="78">
                  <c:v>793.16167352953835</c:v>
                </c:pt>
                <c:pt idx="79">
                  <c:v>871.49705386461471</c:v>
                </c:pt>
                <c:pt idx="80">
                  <c:v>952.64251070769194</c:v>
                </c:pt>
                <c:pt idx="81">
                  <c:v>1039.1287356063974</c:v>
                </c:pt>
                <c:pt idx="82">
                  <c:v>1140.3534578549163</c:v>
                </c:pt>
                <c:pt idx="83">
                  <c:v>1246.2925661372158</c:v>
                </c:pt>
                <c:pt idx="84">
                  <c:v>1361.7822658553193</c:v>
                </c:pt>
                <c:pt idx="85">
                  <c:v>1491.7404848638855</c:v>
                </c:pt>
                <c:pt idx="86">
                  <c:v>1630.6546615773595</c:v>
                </c:pt>
                <c:pt idx="87">
                  <c:v>1785.1799432967643</c:v>
                </c:pt>
                <c:pt idx="88">
                  <c:v>1953.809932409579</c:v>
                </c:pt>
                <c:pt idx="89">
                  <c:v>2136.2399629089323</c:v>
                </c:pt>
                <c:pt idx="90">
                  <c:v>2334.1256493748156</c:v>
                </c:pt>
                <c:pt idx="91">
                  <c:v>2554.7720383826572</c:v>
                </c:pt>
                <c:pt idx="92">
                  <c:v>2794.83615248152</c:v>
                </c:pt>
                <c:pt idx="93">
                  <c:v>3060.5185504805054</c:v>
                </c:pt>
                <c:pt idx="94">
                  <c:v>3343.654512636977</c:v>
                </c:pt>
                <c:pt idx="95">
                  <c:v>3661.5111112956452</c:v>
                </c:pt>
                <c:pt idx="96">
                  <c:v>4003.4693662370532</c:v>
                </c:pt>
                <c:pt idx="97">
                  <c:v>4379.3376179850284</c:v>
                </c:pt>
                <c:pt idx="98">
                  <c:v>4793.2868864530274</c:v>
                </c:pt>
                <c:pt idx="99">
                  <c:v>5245.3420999287619</c:v>
                </c:pt>
                <c:pt idx="100">
                  <c:v>5728.3319074175879</c:v>
                </c:pt>
                <c:pt idx="101">
                  <c:v>6257.9992281260165</c:v>
                </c:pt>
                <c:pt idx="102">
                  <c:v>6883.2764094487875</c:v>
                </c:pt>
                <c:pt idx="103">
                  <c:v>7510.085504603102</c:v>
                </c:pt>
                <c:pt idx="104">
                  <c:v>8232.5971183468337</c:v>
                </c:pt>
                <c:pt idx="105">
                  <c:v>9001.5877596985883</c:v>
                </c:pt>
                <c:pt idx="106">
                  <c:v>9819.5874146884162</c:v>
                </c:pt>
                <c:pt idx="107">
                  <c:v>10737.2240246204</c:v>
                </c:pt>
                <c:pt idx="108">
                  <c:v>11749.37741326789</c:v>
                </c:pt>
                <c:pt idx="109">
                  <c:v>12857.82454423407</c:v>
                </c:pt>
                <c:pt idx="110">
                  <c:v>14109.021398219464</c:v>
                </c:pt>
                <c:pt idx="111">
                  <c:v>15410.637360306229</c:v>
                </c:pt>
                <c:pt idx="112">
                  <c:v>16855.738665072182</c:v>
                </c:pt>
                <c:pt idx="113">
                  <c:v>18439.922882838699</c:v>
                </c:pt>
                <c:pt idx="114">
                  <c:v>20167.182302399811</c:v>
                </c:pt>
                <c:pt idx="115">
                  <c:v>22044.705677517053</c:v>
                </c:pt>
                <c:pt idx="116">
                  <c:v>24116.12597789404</c:v>
                </c:pt>
                <c:pt idx="117">
                  <c:v>26379.563704706434</c:v>
                </c:pt>
                <c:pt idx="118">
                  <c:v>28642.102131781052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77965312"/>
        <c:axId val="177963392"/>
      </c:scatterChart>
      <c:valAx>
        <c:axId val="165628928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0890446913314276"/>
              <c:y val="0.9364548494983278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73221760"/>
        <c:crossesAt val="0"/>
        <c:crossBetween val="midCat"/>
        <c:majorUnit val="0.2"/>
        <c:minorUnit val="0.1"/>
      </c:valAx>
      <c:valAx>
        <c:axId val="173221760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50" b="0"/>
                  <a:t>Equivalent </a:t>
                </a:r>
                <a:r>
                  <a:rPr lang="en-US" sz="600" b="0"/>
                  <a:t>Gas-Water</a:t>
                </a:r>
                <a:r>
                  <a:rPr lang="en-US" sz="550" b="0"/>
                  <a:t> Capillary Pressure, psi.</a:t>
                </a:r>
              </a:p>
            </c:rich>
          </c:tx>
          <c:layout>
            <c:manualLayout>
              <c:xMode val="edge"/>
              <c:yMode val="edge"/>
              <c:x val="1.7123287671232879E-2"/>
              <c:y val="0.22742474916387959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50"/>
            </a:pPr>
            <a:endParaRPr lang="en-US"/>
          </a:p>
        </c:txPr>
        <c:crossAx val="165628928"/>
        <c:crossesAt val="0"/>
        <c:crossBetween val="midCat"/>
        <c:majorUnit val="40"/>
        <c:minorUnit val="20"/>
      </c:valAx>
      <c:valAx>
        <c:axId val="177963392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1"/>
                  <a:t>Estimated Height Above Free Water, ft</a:t>
                </a:r>
              </a:p>
            </c:rich>
          </c:tx>
          <c:overlay val="0"/>
        </c:title>
        <c:numFmt formatCode="0" sourceLinked="0"/>
        <c:majorTickMark val="out"/>
        <c:minorTickMark val="none"/>
        <c:tickLblPos val="nextTo"/>
        <c:crossAx val="177965312"/>
        <c:crosses val="max"/>
        <c:crossBetween val="midCat"/>
        <c:majorUnit val="85.8"/>
        <c:minorUnit val="42.9"/>
      </c:valAx>
      <c:valAx>
        <c:axId val="177965312"/>
        <c:scaling>
          <c:orientation val="minMax"/>
        </c:scaling>
        <c:delete val="1"/>
        <c:axPos val="b"/>
        <c:numFmt formatCode="0.000" sourceLinked="1"/>
        <c:majorTickMark val="out"/>
        <c:minorTickMark val="none"/>
        <c:tickLblPos val="none"/>
        <c:crossAx val="177963392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575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1199" r="0.75000000000001199" t="1" header="0.5" footer="0.5"/>
    <c:pageSetup orientation="landscape" verticalDpi="30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9031174022717789"/>
          <c:y val="7.0234113712374549E-2"/>
          <c:w val="0.73356525323931165"/>
          <c:h val="0.79152731326644366"/>
        </c:manualLayout>
      </c:layout>
      <c:scatterChart>
        <c:scatterStyle val="lineMarker"/>
        <c:varyColors val="0"/>
        <c:ser>
          <c:idx val="0"/>
          <c:order val="0"/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>
                <a:solidFill>
                  <a:srgbClr val="00FF00"/>
                </a:solidFill>
              </a:ln>
            </c:spPr>
          </c:marker>
          <c:xVal>
            <c:numRef>
              <c:f>Table!$C$18:$C$136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0.99886387843499258</c:v>
                </c:pt>
                <c:pt idx="42">
                  <c:v>0.99737271888092027</c:v>
                </c:pt>
                <c:pt idx="43">
                  <c:v>0.99502946815309234</c:v>
                </c:pt>
                <c:pt idx="44">
                  <c:v>0.99190513384932189</c:v>
                </c:pt>
                <c:pt idx="45">
                  <c:v>0.98764467798054389</c:v>
                </c:pt>
                <c:pt idx="46">
                  <c:v>0.98011787261236949</c:v>
                </c:pt>
                <c:pt idx="47">
                  <c:v>0.96875665696229496</c:v>
                </c:pt>
                <c:pt idx="48">
                  <c:v>0.9472413548249663</c:v>
                </c:pt>
                <c:pt idx="49">
                  <c:v>0.91578498899382232</c:v>
                </c:pt>
                <c:pt idx="50">
                  <c:v>0.86508556415536464</c:v>
                </c:pt>
                <c:pt idx="51">
                  <c:v>0.80536817439466024</c:v>
                </c:pt>
                <c:pt idx="52">
                  <c:v>0.7322303486473053</c:v>
                </c:pt>
                <c:pt idx="53">
                  <c:v>0.66292693318185048</c:v>
                </c:pt>
                <c:pt idx="54">
                  <c:v>0.61826315415749489</c:v>
                </c:pt>
                <c:pt idx="55">
                  <c:v>0.58588368955478232</c:v>
                </c:pt>
                <c:pt idx="56">
                  <c:v>0.55861677199460336</c:v>
                </c:pt>
                <c:pt idx="57">
                  <c:v>0.5344031811403821</c:v>
                </c:pt>
                <c:pt idx="58">
                  <c:v>0.51210679542711068</c:v>
                </c:pt>
                <c:pt idx="59">
                  <c:v>0.49272172122417102</c:v>
                </c:pt>
                <c:pt idx="60">
                  <c:v>0.4737626926081091</c:v>
                </c:pt>
                <c:pt idx="61">
                  <c:v>0.45572676276361579</c:v>
                </c:pt>
                <c:pt idx="62">
                  <c:v>0.43726478733224461</c:v>
                </c:pt>
                <c:pt idx="63">
                  <c:v>0.41929986508556427</c:v>
                </c:pt>
                <c:pt idx="64">
                  <c:v>0.40197401121920051</c:v>
                </c:pt>
                <c:pt idx="65">
                  <c:v>0.38486118014627568</c:v>
                </c:pt>
                <c:pt idx="66">
                  <c:v>0.36803237946460277</c:v>
                </c:pt>
                <c:pt idx="67">
                  <c:v>0.35198466235887249</c:v>
                </c:pt>
                <c:pt idx="68">
                  <c:v>0.33593694525314211</c:v>
                </c:pt>
                <c:pt idx="69">
                  <c:v>0.32010225094085076</c:v>
                </c:pt>
                <c:pt idx="70">
                  <c:v>0.304906625008876</c:v>
                </c:pt>
                <c:pt idx="71">
                  <c:v>0.29035006745721803</c:v>
                </c:pt>
                <c:pt idx="72">
                  <c:v>0.27543847191649518</c:v>
                </c:pt>
                <c:pt idx="73">
                  <c:v>0.26208904352765761</c:v>
                </c:pt>
                <c:pt idx="74">
                  <c:v>0.24831356955194217</c:v>
                </c:pt>
                <c:pt idx="75">
                  <c:v>0.23652630831498977</c:v>
                </c:pt>
                <c:pt idx="76">
                  <c:v>0.22395796350209485</c:v>
                </c:pt>
                <c:pt idx="77">
                  <c:v>0.21209969466732947</c:v>
                </c:pt>
                <c:pt idx="78">
                  <c:v>0.20059646382162899</c:v>
                </c:pt>
                <c:pt idx="79">
                  <c:v>0.18944827096499339</c:v>
                </c:pt>
                <c:pt idx="80">
                  <c:v>0.17908116168430033</c:v>
                </c:pt>
                <c:pt idx="81">
                  <c:v>0.16899808279485917</c:v>
                </c:pt>
                <c:pt idx="82">
                  <c:v>0.15905701910104397</c:v>
                </c:pt>
                <c:pt idx="83">
                  <c:v>0.14954200099410642</c:v>
                </c:pt>
                <c:pt idx="84">
                  <c:v>0.14066605126748577</c:v>
                </c:pt>
                <c:pt idx="85">
                  <c:v>0.13143506355180001</c:v>
                </c:pt>
                <c:pt idx="86">
                  <c:v>0.12270112902080521</c:v>
                </c:pt>
                <c:pt idx="87">
                  <c:v>0.11418021728324934</c:v>
                </c:pt>
                <c:pt idx="88">
                  <c:v>0.10601434353475836</c:v>
                </c:pt>
                <c:pt idx="89">
                  <c:v>9.7564439395015357E-2</c:v>
                </c:pt>
                <c:pt idx="90">
                  <c:v>8.9611588439963086E-2</c:v>
                </c:pt>
                <c:pt idx="91">
                  <c:v>8.265284385429239E-2</c:v>
                </c:pt>
                <c:pt idx="92">
                  <c:v>7.5978129659873717E-2</c:v>
                </c:pt>
                <c:pt idx="93">
                  <c:v>6.8806362280764199E-2</c:v>
                </c:pt>
                <c:pt idx="94">
                  <c:v>6.2770716466661991E-2</c:v>
                </c:pt>
                <c:pt idx="95">
                  <c:v>5.6380032663495117E-2</c:v>
                </c:pt>
                <c:pt idx="96">
                  <c:v>5.0841440034083751E-2</c:v>
                </c:pt>
                <c:pt idx="97">
                  <c:v>4.5586877795924186E-2</c:v>
                </c:pt>
                <c:pt idx="98">
                  <c:v>4.0119292764325909E-2</c:v>
                </c:pt>
                <c:pt idx="99">
                  <c:v>3.5361783710857075E-2</c:v>
                </c:pt>
                <c:pt idx="100">
                  <c:v>3.0959312646453241E-2</c:v>
                </c:pt>
                <c:pt idx="101">
                  <c:v>2.6414826386423451E-2</c:v>
                </c:pt>
                <c:pt idx="102">
                  <c:v>2.2509408506710238E-2</c:v>
                </c:pt>
                <c:pt idx="103">
                  <c:v>1.8888021018249046E-2</c:v>
                </c:pt>
                <c:pt idx="104">
                  <c:v>1.6402755094795274E-2</c:v>
                </c:pt>
                <c:pt idx="105">
                  <c:v>1.4485549953845211E-2</c:v>
                </c:pt>
                <c:pt idx="106">
                  <c:v>1.1219200454448686E-2</c:v>
                </c:pt>
                <c:pt idx="107">
                  <c:v>8.9469573244338463E-3</c:v>
                </c:pt>
                <c:pt idx="108">
                  <c:v>7.1717673791095171E-3</c:v>
                </c:pt>
                <c:pt idx="109">
                  <c:v>4.9705318469076554E-3</c:v>
                </c:pt>
                <c:pt idx="110">
                  <c:v>3.1243343037706817E-3</c:v>
                </c:pt>
                <c:pt idx="111">
                  <c:v>3.1243343037706817E-3</c:v>
                </c:pt>
                <c:pt idx="112">
                  <c:v>1.7041823475113516E-3</c:v>
                </c:pt>
                <c:pt idx="113">
                  <c:v>6.3906838031679847E-4</c:v>
                </c:pt>
                <c:pt idx="114">
                  <c:v>5.6806078250382086E-4</c:v>
                </c:pt>
                <c:pt idx="115">
                  <c:v>2.8403039125202145E-4</c:v>
                </c:pt>
                <c:pt idx="116">
                  <c:v>2.8403039125202145E-4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Table!$K$18:$K$136</c:f>
              <c:numCache>
                <c:formatCode>??0.000</c:formatCode>
                <c:ptCount val="119"/>
                <c:pt idx="0">
                  <c:v>2.6802298713214288E-3</c:v>
                </c:pt>
                <c:pt idx="1">
                  <c:v>2.8135711620330792E-3</c:v>
                </c:pt>
                <c:pt idx="2">
                  <c:v>3.2019182284345423E-3</c:v>
                </c:pt>
                <c:pt idx="3">
                  <c:v>3.5493261906172401E-3</c:v>
                </c:pt>
                <c:pt idx="4">
                  <c:v>3.8310003501438421E-3</c:v>
                </c:pt>
                <c:pt idx="5">
                  <c:v>4.1716331715054506E-3</c:v>
                </c:pt>
                <c:pt idx="6">
                  <c:v>4.5579622133705795E-3</c:v>
                </c:pt>
                <c:pt idx="7">
                  <c:v>4.9734100525471682E-3</c:v>
                </c:pt>
                <c:pt idx="8">
                  <c:v>5.4374371241310473E-3</c:v>
                </c:pt>
                <c:pt idx="9">
                  <c:v>5.9153031556308609E-3</c:v>
                </c:pt>
                <c:pt idx="10">
                  <c:v>6.5090678577920599E-3</c:v>
                </c:pt>
                <c:pt idx="11">
                  <c:v>7.1068686090259266E-3</c:v>
                </c:pt>
                <c:pt idx="12">
                  <c:v>7.7686733976717794E-3</c:v>
                </c:pt>
                <c:pt idx="13">
                  <c:v>8.4980858838639515E-3</c:v>
                </c:pt>
                <c:pt idx="14">
                  <c:v>9.2710322268864352E-3</c:v>
                </c:pt>
                <c:pt idx="15">
                  <c:v>1.0136813145340141E-2</c:v>
                </c:pt>
                <c:pt idx="16">
                  <c:v>1.1079715155946619E-2</c:v>
                </c:pt>
                <c:pt idx="17">
                  <c:v>1.2134480207123344E-2</c:v>
                </c:pt>
                <c:pt idx="18">
                  <c:v>1.3271555855675935E-2</c:v>
                </c:pt>
                <c:pt idx="19">
                  <c:v>1.4490511388592175E-2</c:v>
                </c:pt>
                <c:pt idx="20">
                  <c:v>1.5855348748376401E-2</c:v>
                </c:pt>
                <c:pt idx="21">
                  <c:v>1.7354823308742696E-2</c:v>
                </c:pt>
                <c:pt idx="22">
                  <c:v>1.8954628862064157E-2</c:v>
                </c:pt>
                <c:pt idx="23">
                  <c:v>2.0889302888865809E-2</c:v>
                </c:pt>
                <c:pt idx="24">
                  <c:v>2.2633404004984967E-2</c:v>
                </c:pt>
                <c:pt idx="25">
                  <c:v>2.4924998341121943E-2</c:v>
                </c:pt>
                <c:pt idx="26">
                  <c:v>2.7191799026275415E-2</c:v>
                </c:pt>
                <c:pt idx="27">
                  <c:v>2.9648446946102455E-2</c:v>
                </c:pt>
                <c:pt idx="28">
                  <c:v>3.2450920544366435E-2</c:v>
                </c:pt>
                <c:pt idx="29">
                  <c:v>3.5603250423380139E-2</c:v>
                </c:pt>
                <c:pt idx="30">
                  <c:v>3.8944132046178526E-2</c:v>
                </c:pt>
                <c:pt idx="31">
                  <c:v>4.2626510430252139E-2</c:v>
                </c:pt>
                <c:pt idx="32">
                  <c:v>4.6744086604834971E-2</c:v>
                </c:pt>
                <c:pt idx="33">
                  <c:v>5.0905917284478686E-2</c:v>
                </c:pt>
                <c:pt idx="34">
                  <c:v>5.2350619227470169E-2</c:v>
                </c:pt>
                <c:pt idx="35">
                  <c:v>5.719652272608404E-2</c:v>
                </c:pt>
                <c:pt idx="36">
                  <c:v>6.3906448234160668E-2</c:v>
                </c:pt>
                <c:pt idx="37">
                  <c:v>7.0821265765668384E-2</c:v>
                </c:pt>
                <c:pt idx="38">
                  <c:v>7.7738074297403814E-2</c:v>
                </c:pt>
                <c:pt idx="39">
                  <c:v>8.6730926251737284E-2</c:v>
                </c:pt>
                <c:pt idx="40">
                  <c:v>9.1433119085768497E-2</c:v>
                </c:pt>
                <c:pt idx="41">
                  <c:v>0.10338340411904982</c:v>
                </c:pt>
                <c:pt idx="42">
                  <c:v>0.11219615434908344</c:v>
                </c:pt>
                <c:pt idx="43">
                  <c:v>0.12447171653067401</c:v>
                </c:pt>
                <c:pt idx="44">
                  <c:v>0.13312882685402003</c:v>
                </c:pt>
                <c:pt idx="45">
                  <c:v>0.14541000003625226</c:v>
                </c:pt>
                <c:pt idx="46">
                  <c:v>0.1617495422751854</c:v>
                </c:pt>
                <c:pt idx="47">
                  <c:v>0.17808167021697438</c:v>
                </c:pt>
                <c:pt idx="48">
                  <c:v>0.19428770147767646</c:v>
                </c:pt>
                <c:pt idx="49">
                  <c:v>0.2126641643199188</c:v>
                </c:pt>
                <c:pt idx="50">
                  <c:v>0.23303527420508049</c:v>
                </c:pt>
                <c:pt idx="51">
                  <c:v>0.25456285355582747</c:v>
                </c:pt>
                <c:pt idx="52">
                  <c:v>0.27815557610570368</c:v>
                </c:pt>
                <c:pt idx="53">
                  <c:v>0.3055254339023416</c:v>
                </c:pt>
                <c:pt idx="54">
                  <c:v>0.33394200811497649</c:v>
                </c:pt>
                <c:pt idx="55">
                  <c:v>0.36522481821094499</c:v>
                </c:pt>
                <c:pt idx="56">
                  <c:v>0.39949227842601082</c:v>
                </c:pt>
                <c:pt idx="57">
                  <c:v>0.43945405292189854</c:v>
                </c:pt>
                <c:pt idx="58">
                  <c:v>0.48005109726821249</c:v>
                </c:pt>
                <c:pt idx="59">
                  <c:v>0.52579283257323506</c:v>
                </c:pt>
                <c:pt idx="60">
                  <c:v>0.57530065542005226</c:v>
                </c:pt>
                <c:pt idx="61">
                  <c:v>0.62847894416809913</c:v>
                </c:pt>
                <c:pt idx="62">
                  <c:v>0.68833385442041428</c:v>
                </c:pt>
                <c:pt idx="63">
                  <c:v>0.75327242510594006</c:v>
                </c:pt>
                <c:pt idx="64">
                  <c:v>0.82451757280897187</c:v>
                </c:pt>
                <c:pt idx="65">
                  <c:v>0.90155515021145316</c:v>
                </c:pt>
                <c:pt idx="66">
                  <c:v>0.98641128495249608</c:v>
                </c:pt>
                <c:pt idx="67">
                  <c:v>1.0781112047724792</c:v>
                </c:pt>
                <c:pt idx="68">
                  <c:v>1.1806407714605522</c:v>
                </c:pt>
                <c:pt idx="69">
                  <c:v>1.2914401352424938</c:v>
                </c:pt>
                <c:pt idx="70">
                  <c:v>1.4135024733494872</c:v>
                </c:pt>
                <c:pt idx="71">
                  <c:v>1.5450341962430871</c:v>
                </c:pt>
                <c:pt idx="72">
                  <c:v>1.6915473578869764</c:v>
                </c:pt>
                <c:pt idx="73">
                  <c:v>1.842937598607119</c:v>
                </c:pt>
                <c:pt idx="74">
                  <c:v>2.0178090390495695</c:v>
                </c:pt>
                <c:pt idx="75">
                  <c:v>2.2123447507778304</c:v>
                </c:pt>
                <c:pt idx="76">
                  <c:v>2.4230622397640196</c:v>
                </c:pt>
                <c:pt idx="77">
                  <c:v>2.6513367843876341</c:v>
                </c:pt>
                <c:pt idx="78">
                  <c:v>2.894009599102255</c:v>
                </c:pt>
                <c:pt idx="79">
                  <c:v>3.179831960677312</c:v>
                </c:pt>
                <c:pt idx="80">
                  <c:v>3.4759074505360106</c:v>
                </c:pt>
                <c:pt idx="81">
                  <c:v>3.7914698048454176</c:v>
                </c:pt>
                <c:pt idx="82">
                  <c:v>4.1608085256008955</c:v>
                </c:pt>
                <c:pt idx="83">
                  <c:v>4.5473486302494202</c:v>
                </c:pt>
                <c:pt idx="84">
                  <c:v>4.9687359851052415</c:v>
                </c:pt>
                <c:pt idx="85">
                  <c:v>5.442914637257446</c:v>
                </c:pt>
                <c:pt idx="86">
                  <c:v>5.9497708990725338</c:v>
                </c:pt>
                <c:pt idx="87">
                  <c:v>6.5135874115496497</c:v>
                </c:pt>
                <c:pt idx="88">
                  <c:v>7.1288677805787524</c:v>
                </c:pt>
                <c:pt idx="89">
                  <c:v>7.7945003710697547</c:v>
                </c:pt>
                <c:pt idx="90">
                  <c:v>8.5165260251949579</c:v>
                </c:pt>
                <c:pt idx="91">
                  <c:v>9.3215986719283901</c:v>
                </c:pt>
                <c:pt idx="92">
                  <c:v>10.197520786912193</c:v>
                </c:pt>
                <c:pt idx="93">
                  <c:v>11.166916353770654</c:v>
                </c:pt>
                <c:pt idx="94">
                  <c:v>12.199994753393256</c:v>
                </c:pt>
                <c:pt idx="95">
                  <c:v>13.35975836572559</c:v>
                </c:pt>
                <c:pt idx="96">
                  <c:v>14.607461709596048</c:v>
                </c:pt>
                <c:pt idx="97">
                  <c:v>15.978892484504657</c:v>
                </c:pt>
                <c:pt idx="98">
                  <c:v>17.489269493969591</c:v>
                </c:pt>
                <c:pt idx="99">
                  <c:v>19.138683693853103</c:v>
                </c:pt>
                <c:pt idx="100">
                  <c:v>20.900968970348071</c:v>
                </c:pt>
                <c:pt idx="101">
                  <c:v>22.833566524690035</c:v>
                </c:pt>
                <c:pt idx="102">
                  <c:v>25.115015849889065</c:v>
                </c:pt>
                <c:pt idx="103">
                  <c:v>27.402054670245818</c:v>
                </c:pt>
                <c:pt idx="104">
                  <c:v>30.038283342683496</c:v>
                </c:pt>
                <c:pt idx="105">
                  <c:v>32.844100078366829</c:v>
                </c:pt>
                <c:pt idx="106">
                  <c:v>35.828736039240368</c:v>
                </c:pt>
                <c:pt idx="107">
                  <c:v>39.176917433095767</c:v>
                </c:pt>
                <c:pt idx="108">
                  <c:v>42.86996226905584</c:v>
                </c:pt>
                <c:pt idx="109">
                  <c:v>46.914354155565746</c:v>
                </c:pt>
                <c:pt idx="110">
                  <c:v>51.479597064602267</c:v>
                </c:pt>
                <c:pt idx="111">
                  <c:v>56.228804211565524</c:v>
                </c:pt>
                <c:pt idx="112">
                  <c:v>61.501546437066033</c:v>
                </c:pt>
                <c:pt idx="113">
                  <c:v>67.281760592600179</c:v>
                </c:pt>
                <c:pt idx="114">
                  <c:v>73.584013345315299</c:v>
                </c:pt>
                <c:pt idx="115">
                  <c:v>80.434534306507231</c:v>
                </c:pt>
                <c:pt idx="116">
                  <c:v>87.992527125789621</c:v>
                </c:pt>
                <c:pt idx="117">
                  <c:v>96.251134074378285</c:v>
                </c:pt>
                <c:pt idx="118">
                  <c:v>104.50645974733243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2693248"/>
        <c:axId val="222700672"/>
      </c:scatterChart>
      <c:valAx>
        <c:axId val="222693248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2145365047362159"/>
              <c:y val="0.9297658862876256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2700672"/>
        <c:crossesAt val="0"/>
        <c:crossBetween val="midCat"/>
        <c:majorUnit val="0.2"/>
        <c:minorUnit val="0.1"/>
      </c:valAx>
      <c:valAx>
        <c:axId val="222700672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Leverett J Function.</a:t>
                </a:r>
              </a:p>
            </c:rich>
          </c:tx>
          <c:layout>
            <c:manualLayout>
              <c:xMode val="edge"/>
              <c:yMode val="edge"/>
              <c:x val="5.5363321799309036E-2"/>
              <c:y val="0.33110367892977444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2693248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619718309859155"/>
          <c:y val="5.369136314257017E-2"/>
          <c:w val="0.79577464788732399"/>
          <c:h val="0.81320051436523455"/>
        </c:manualLayout>
      </c:layout>
      <c:scatterChart>
        <c:scatterStyle val="lineMarker"/>
        <c:varyColors val="0"/>
        <c:ser>
          <c:idx val="2"/>
          <c:order val="0"/>
          <c:tx>
            <c:v>Uncorrected</c:v>
          </c:tx>
          <c:spPr>
            <a:ln w="12700">
              <a:solidFill>
                <a:srgbClr val="99CCFF"/>
              </a:solidFill>
            </a:ln>
          </c:spPr>
          <c:marker>
            <c:symbol val="circle"/>
            <c:size val="5"/>
            <c:spPr>
              <a:solidFill>
                <a:srgbClr val="99CCFF"/>
              </a:solidFill>
              <a:ln>
                <a:solidFill>
                  <a:srgbClr val="99CCFF"/>
                </a:solidFill>
              </a:ln>
            </c:spPr>
          </c:marker>
          <c:xVal>
            <c:numRef>
              <c:f>'Raw Data'!$D$18:$D$136</c:f>
              <c:numCache>
                <c:formatCode>0.000</c:formatCode>
                <c:ptCount val="119"/>
                <c:pt idx="0">
                  <c:v>0</c:v>
                </c:pt>
                <c:pt idx="1">
                  <c:v>1.3868085918764829E-3</c:v>
                </c:pt>
                <c:pt idx="2">
                  <c:v>2.6895682514804331E-3</c:v>
                </c:pt>
                <c:pt idx="3">
                  <c:v>7.564410085801933E-3</c:v>
                </c:pt>
                <c:pt idx="4">
                  <c:v>1.2019008065013895E-2</c:v>
                </c:pt>
                <c:pt idx="5">
                  <c:v>1.6515629838484518E-2</c:v>
                </c:pt>
                <c:pt idx="6">
                  <c:v>2.0213785277235344E-2</c:v>
                </c:pt>
                <c:pt idx="7">
                  <c:v>2.3953965316497957E-2</c:v>
                </c:pt>
                <c:pt idx="8">
                  <c:v>2.6853656033035245E-2</c:v>
                </c:pt>
                <c:pt idx="9">
                  <c:v>2.8870833363837497E-2</c:v>
                </c:pt>
                <c:pt idx="10">
                  <c:v>3.0551814159296496E-2</c:v>
                </c:pt>
                <c:pt idx="11">
                  <c:v>3.1518379769504327E-2</c:v>
                </c:pt>
                <c:pt idx="12">
                  <c:v>3.2148746559985043E-2</c:v>
                </c:pt>
                <c:pt idx="13">
                  <c:v>3.2695062839280857E-2</c:v>
                </c:pt>
                <c:pt idx="14">
                  <c:v>3.3115306996735316E-2</c:v>
                </c:pt>
                <c:pt idx="15">
                  <c:v>3.3199356844441086E-2</c:v>
                </c:pt>
                <c:pt idx="16">
                  <c:v>3.3745673291706295E-2</c:v>
                </c:pt>
                <c:pt idx="17">
                  <c:v>3.3997819080707488E-2</c:v>
                </c:pt>
                <c:pt idx="18">
                  <c:v>3.4249967506828273E-2</c:v>
                </c:pt>
                <c:pt idx="19">
                  <c:v>3.4460089753524902E-2</c:v>
                </c:pt>
                <c:pt idx="20">
                  <c:v>3.4586161413450403E-2</c:v>
                </c:pt>
                <c:pt idx="21">
                  <c:v>3.4796283391395989E-2</c:v>
                </c:pt>
                <c:pt idx="22">
                  <c:v>3.500640540293546E-2</c:v>
                </c:pt>
                <c:pt idx="23">
                  <c:v>3.5258551410296872E-2</c:v>
                </c:pt>
                <c:pt idx="24">
                  <c:v>3.5384625463786339E-2</c:v>
                </c:pt>
                <c:pt idx="25">
                  <c:v>3.5678795584548263E-2</c:v>
                </c:pt>
                <c:pt idx="26">
                  <c:v>3.5762845742997429E-2</c:v>
                </c:pt>
                <c:pt idx="27">
                  <c:v>3.6057016065322647E-2</c:v>
                </c:pt>
                <c:pt idx="28">
                  <c:v>3.6309162240653461E-2</c:v>
                </c:pt>
                <c:pt idx="29">
                  <c:v>3.6603335015331938E-2</c:v>
                </c:pt>
                <c:pt idx="30">
                  <c:v>3.6897505472032681E-2</c:v>
                </c:pt>
                <c:pt idx="31">
                  <c:v>3.7191680598282775E-2</c:v>
                </c:pt>
                <c:pt idx="32">
                  <c:v>3.7401801182082334E-2</c:v>
                </c:pt>
                <c:pt idx="33">
                  <c:v>3.7737995836168298E-2</c:v>
                </c:pt>
                <c:pt idx="34">
                  <c:v>3.7737995836168298E-2</c:v>
                </c:pt>
                <c:pt idx="35">
                  <c:v>3.799899431810249E-2</c:v>
                </c:pt>
                <c:pt idx="36">
                  <c:v>3.799899431810249E-2</c:v>
                </c:pt>
                <c:pt idx="37">
                  <c:v>3.799899431810249E-2</c:v>
                </c:pt>
                <c:pt idx="38">
                  <c:v>3.799899431810249E-2</c:v>
                </c:pt>
                <c:pt idx="39">
                  <c:v>3.799899431810249E-2</c:v>
                </c:pt>
                <c:pt idx="40">
                  <c:v>3.799899431810249E-2</c:v>
                </c:pt>
                <c:pt idx="41">
                  <c:v>3.909194440621655E-2</c:v>
                </c:pt>
                <c:pt idx="42">
                  <c:v>4.0526441396866265E-2</c:v>
                </c:pt>
                <c:pt idx="43">
                  <c:v>4.2780650953601521E-2</c:v>
                </c:pt>
                <c:pt idx="44">
                  <c:v>4.5786263695915187E-2</c:v>
                </c:pt>
                <c:pt idx="45">
                  <c:v>4.9884826526342935E-2</c:v>
                </c:pt>
                <c:pt idx="46">
                  <c:v>5.7125620860098605E-2</c:v>
                </c:pt>
                <c:pt idx="47">
                  <c:v>6.8055121741239247E-2</c:v>
                </c:pt>
                <c:pt idx="48">
                  <c:v>8.8752864034899334E-2</c:v>
                </c:pt>
                <c:pt idx="49">
                  <c:v>0.11901391959955746</c:v>
                </c:pt>
                <c:pt idx="50">
                  <c:v>0.16778681728164757</c:v>
                </c:pt>
                <c:pt idx="51">
                  <c:v>0.22523500628814305</c:v>
                </c:pt>
                <c:pt idx="52">
                  <c:v>0.29559366821048588</c:v>
                </c:pt>
                <c:pt idx="53">
                  <c:v>0.36226362358544378</c:v>
                </c:pt>
                <c:pt idx="54">
                  <c:v>0.40523022392442792</c:v>
                </c:pt>
                <c:pt idx="55">
                  <c:v>0.43637930143567877</c:v>
                </c:pt>
                <c:pt idx="56">
                  <c:v>0.46261010355041632</c:v>
                </c:pt>
                <c:pt idx="57">
                  <c:v>0.48590360230334723</c:v>
                </c:pt>
                <c:pt idx="58">
                  <c:v>0.50735274778258577</c:v>
                </c:pt>
                <c:pt idx="59">
                  <c:v>0.52600120866103195</c:v>
                </c:pt>
                <c:pt idx="60">
                  <c:v>0.54423981325643545</c:v>
                </c:pt>
                <c:pt idx="61">
                  <c:v>0.56159039590524618</c:v>
                </c:pt>
                <c:pt idx="62">
                  <c:v>0.5793508348370997</c:v>
                </c:pt>
                <c:pt idx="63">
                  <c:v>0.59663310810540326</c:v>
                </c:pt>
                <c:pt idx="64">
                  <c:v>0.61330059694914274</c:v>
                </c:pt>
                <c:pt idx="65">
                  <c:v>0.62976315765136082</c:v>
                </c:pt>
                <c:pt idx="66">
                  <c:v>0.64595248083155044</c:v>
                </c:pt>
                <c:pt idx="67">
                  <c:v>0.66139040082616163</c:v>
                </c:pt>
                <c:pt idx="68">
                  <c:v>0.67682832082077282</c:v>
                </c:pt>
                <c:pt idx="69">
                  <c:v>0.69206131267386251</c:v>
                </c:pt>
                <c:pt idx="70">
                  <c:v>0.7066795201023881</c:v>
                </c:pt>
                <c:pt idx="71">
                  <c:v>0.72068294310634951</c:v>
                </c:pt>
                <c:pt idx="72">
                  <c:v>0.73502791301284653</c:v>
                </c:pt>
                <c:pt idx="73">
                  <c:v>0.74787007654818694</c:v>
                </c:pt>
                <c:pt idx="74">
                  <c:v>0.76112209636657002</c:v>
                </c:pt>
                <c:pt idx="75">
                  <c:v>0.77246145353075335</c:v>
                </c:pt>
                <c:pt idx="76">
                  <c:v>0.78455221388051521</c:v>
                </c:pt>
                <c:pt idx="77">
                  <c:v>0.7959598804252056</c:v>
                </c:pt>
                <c:pt idx="78">
                  <c:v>0.80702600006736047</c:v>
                </c:pt>
                <c:pt idx="79">
                  <c:v>0.81775057280697994</c:v>
                </c:pt>
                <c:pt idx="80">
                  <c:v>0.82772374236102053</c:v>
                </c:pt>
                <c:pt idx="81">
                  <c:v>0.837423674393033</c:v>
                </c:pt>
                <c:pt idx="82">
                  <c:v>0.84698698766403091</c:v>
                </c:pt>
                <c:pt idx="83">
                  <c:v>0.85614044465198647</c:v>
                </c:pt>
                <c:pt idx="84">
                  <c:v>0.86467911721537738</c:v>
                </c:pt>
                <c:pt idx="85">
                  <c:v>0.87355933668130437</c:v>
                </c:pt>
                <c:pt idx="86">
                  <c:v>0.88196139048368105</c:v>
                </c:pt>
                <c:pt idx="87">
                  <c:v>0.89015851614453656</c:v>
                </c:pt>
                <c:pt idx="88">
                  <c:v>0.89801409490285633</c:v>
                </c:pt>
                <c:pt idx="89">
                  <c:v>0.90614291118320478</c:v>
                </c:pt>
                <c:pt idx="90">
                  <c:v>0.91379356180000326</c:v>
                </c:pt>
                <c:pt idx="91">
                  <c:v>0.92048788108970181</c:v>
                </c:pt>
                <c:pt idx="92">
                  <c:v>0.9269089628573719</c:v>
                </c:pt>
                <c:pt idx="93">
                  <c:v>0.93380821028859184</c:v>
                </c:pt>
                <c:pt idx="94">
                  <c:v>0.93961450763169796</c:v>
                </c:pt>
                <c:pt idx="95">
                  <c:v>0.94576235187733948</c:v>
                </c:pt>
                <c:pt idx="96">
                  <c:v>0.95109048355689563</c:v>
                </c:pt>
                <c:pt idx="97">
                  <c:v>0.95614537771442321</c:v>
                </c:pt>
                <c:pt idx="98">
                  <c:v>0.96140520001347196</c:v>
                </c:pt>
                <c:pt idx="99">
                  <c:v>0.96598192850744991</c:v>
                </c:pt>
                <c:pt idx="100">
                  <c:v>0.97021711009889167</c:v>
                </c:pt>
                <c:pt idx="101">
                  <c:v>0.9745889104513481</c:v>
                </c:pt>
                <c:pt idx="102">
                  <c:v>0.97834592637924023</c:v>
                </c:pt>
                <c:pt idx="103">
                  <c:v>0.98182970478510356</c:v>
                </c:pt>
                <c:pt idx="104">
                  <c:v>0.98422053310285329</c:v>
                </c:pt>
                <c:pt idx="105">
                  <c:v>0.98606488637654566</c:v>
                </c:pt>
                <c:pt idx="106">
                  <c:v>0.98920711787987359</c:v>
                </c:pt>
                <c:pt idx="107">
                  <c:v>0.9913930180561018</c:v>
                </c:pt>
                <c:pt idx="108">
                  <c:v>0.99310075256877994</c:v>
                </c:pt>
                <c:pt idx="109">
                  <c:v>0.99521834336450088</c:v>
                </c:pt>
                <c:pt idx="110">
                  <c:v>0.9969943872576863</c:v>
                </c:pt>
                <c:pt idx="111">
                  <c:v>0.9969943872576863</c:v>
                </c:pt>
                <c:pt idx="112">
                  <c:v>0.99836057486782881</c:v>
                </c:pt>
                <c:pt idx="113">
                  <c:v>0.9993852155754358</c:v>
                </c:pt>
                <c:pt idx="114">
                  <c:v>0.99945352495594297</c:v>
                </c:pt>
                <c:pt idx="115">
                  <c:v>0.99972676247797154</c:v>
                </c:pt>
                <c:pt idx="116">
                  <c:v>0.99972676247797154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yVal>
          <c:smooth val="0"/>
        </c:ser>
        <c:ser>
          <c:idx val="0"/>
          <c:order val="1"/>
          <c:tx>
            <c:v>Conformance Corrected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>
                <a:solidFill>
                  <a:srgbClr val="0000FF"/>
                </a:solidFill>
              </a:ln>
            </c:spPr>
          </c:marker>
          <c:xVal>
            <c:numRef>
              <c:f>Table!$B$18:$B$136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1.1361215650074557E-3</c:v>
                </c:pt>
                <c:pt idx="42">
                  <c:v>2.6272811190797413E-3</c:v>
                </c:pt>
                <c:pt idx="43">
                  <c:v>4.9705318469076189E-3</c:v>
                </c:pt>
                <c:pt idx="44">
                  <c:v>8.0948661506781219E-3</c:v>
                </c:pt>
                <c:pt idx="45">
                  <c:v>1.2355322019456079E-2</c:v>
                </c:pt>
                <c:pt idx="46">
                  <c:v>1.9882127387630476E-2</c:v>
                </c:pt>
                <c:pt idx="47">
                  <c:v>3.124334303770503E-2</c:v>
                </c:pt>
                <c:pt idx="48">
                  <c:v>5.275864517503373E-2</c:v>
                </c:pt>
                <c:pt idx="49">
                  <c:v>8.4215011006177648E-2</c:v>
                </c:pt>
                <c:pt idx="50">
                  <c:v>0.13491443584463536</c:v>
                </c:pt>
                <c:pt idx="51">
                  <c:v>0.19463182560533976</c:v>
                </c:pt>
                <c:pt idx="52">
                  <c:v>0.2677696513526947</c:v>
                </c:pt>
                <c:pt idx="53">
                  <c:v>0.33707306681814952</c:v>
                </c:pt>
                <c:pt idx="54">
                  <c:v>0.38173684584250511</c:v>
                </c:pt>
                <c:pt idx="55">
                  <c:v>0.41411631044521763</c:v>
                </c:pt>
                <c:pt idx="56">
                  <c:v>0.44138322800539659</c:v>
                </c:pt>
                <c:pt idx="57">
                  <c:v>0.4655968188596179</c:v>
                </c:pt>
                <c:pt idx="58">
                  <c:v>0.48789320457288932</c:v>
                </c:pt>
                <c:pt idx="59">
                  <c:v>0.50727827877582898</c:v>
                </c:pt>
                <c:pt idx="60">
                  <c:v>0.5262373073918909</c:v>
                </c:pt>
                <c:pt idx="61">
                  <c:v>0.54427323723638421</c:v>
                </c:pt>
                <c:pt idx="62">
                  <c:v>0.56273521266775539</c:v>
                </c:pt>
                <c:pt idx="63">
                  <c:v>0.58070013491443573</c:v>
                </c:pt>
                <c:pt idx="64">
                  <c:v>0.59802598878079949</c:v>
                </c:pt>
                <c:pt idx="65">
                  <c:v>0.61513881985372432</c:v>
                </c:pt>
                <c:pt idx="66">
                  <c:v>0.63196762053539723</c:v>
                </c:pt>
                <c:pt idx="67">
                  <c:v>0.64801533764112751</c:v>
                </c:pt>
                <c:pt idx="68">
                  <c:v>0.66406305474685789</c:v>
                </c:pt>
                <c:pt idx="69">
                  <c:v>0.67989774905914924</c:v>
                </c:pt>
                <c:pt idx="70">
                  <c:v>0.695093374991124</c:v>
                </c:pt>
                <c:pt idx="71">
                  <c:v>0.70964993254278197</c:v>
                </c:pt>
                <c:pt idx="72">
                  <c:v>0.72456152808350482</c:v>
                </c:pt>
                <c:pt idx="73">
                  <c:v>0.73791095647234239</c:v>
                </c:pt>
                <c:pt idx="74">
                  <c:v>0.75168643044805783</c:v>
                </c:pt>
                <c:pt idx="75">
                  <c:v>0.76347369168501023</c:v>
                </c:pt>
                <c:pt idx="76">
                  <c:v>0.77604203649790515</c:v>
                </c:pt>
                <c:pt idx="77">
                  <c:v>0.78790030533267053</c:v>
                </c:pt>
                <c:pt idx="78">
                  <c:v>0.79940353617837101</c:v>
                </c:pt>
                <c:pt idx="79">
                  <c:v>0.81055172903500661</c:v>
                </c:pt>
                <c:pt idx="80">
                  <c:v>0.82091883831569967</c:v>
                </c:pt>
                <c:pt idx="81">
                  <c:v>0.83100191720514083</c:v>
                </c:pt>
                <c:pt idx="82">
                  <c:v>0.84094298089895603</c:v>
                </c:pt>
                <c:pt idx="83">
                  <c:v>0.85045799900589358</c:v>
                </c:pt>
                <c:pt idx="84">
                  <c:v>0.85933394873251423</c:v>
                </c:pt>
                <c:pt idx="85">
                  <c:v>0.86856493644819999</c:v>
                </c:pt>
                <c:pt idx="86">
                  <c:v>0.87729887097919479</c:v>
                </c:pt>
                <c:pt idx="87">
                  <c:v>0.88581978271675066</c:v>
                </c:pt>
                <c:pt idx="88">
                  <c:v>0.89398565646524164</c:v>
                </c:pt>
                <c:pt idx="89">
                  <c:v>0.90243556060498464</c:v>
                </c:pt>
                <c:pt idx="90">
                  <c:v>0.91038841156003691</c:v>
                </c:pt>
                <c:pt idx="91">
                  <c:v>0.91734715614570761</c:v>
                </c:pt>
                <c:pt idx="92">
                  <c:v>0.92402187034012628</c:v>
                </c:pt>
                <c:pt idx="93">
                  <c:v>0.9311936377192358</c:v>
                </c:pt>
                <c:pt idx="94">
                  <c:v>0.93722928353333801</c:v>
                </c:pt>
                <c:pt idx="95">
                  <c:v>0.94361996733650488</c:v>
                </c:pt>
                <c:pt idx="96">
                  <c:v>0.94915855996591625</c:v>
                </c:pt>
                <c:pt idx="97">
                  <c:v>0.95441312220407581</c:v>
                </c:pt>
                <c:pt idx="98">
                  <c:v>0.95988070723567409</c:v>
                </c:pt>
                <c:pt idx="99">
                  <c:v>0.96463821628914292</c:v>
                </c:pt>
                <c:pt idx="100">
                  <c:v>0.96904068735354676</c:v>
                </c:pt>
                <c:pt idx="101">
                  <c:v>0.97358517361357655</c:v>
                </c:pt>
                <c:pt idx="102">
                  <c:v>0.97749059149328976</c:v>
                </c:pt>
                <c:pt idx="103">
                  <c:v>0.98111197898175095</c:v>
                </c:pt>
                <c:pt idx="104">
                  <c:v>0.98359724490520473</c:v>
                </c:pt>
                <c:pt idx="105">
                  <c:v>0.98551445004615479</c:v>
                </c:pt>
                <c:pt idx="106">
                  <c:v>0.98878079954555131</c:v>
                </c:pt>
                <c:pt idx="107">
                  <c:v>0.99105304267556615</c:v>
                </c:pt>
                <c:pt idx="108">
                  <c:v>0.99282823262089048</c:v>
                </c:pt>
                <c:pt idx="109">
                  <c:v>0.99502946815309234</c:v>
                </c:pt>
                <c:pt idx="110">
                  <c:v>0.99687566569622932</c:v>
                </c:pt>
                <c:pt idx="111">
                  <c:v>0.99687566569622932</c:v>
                </c:pt>
                <c:pt idx="112">
                  <c:v>0.99829581765248865</c:v>
                </c:pt>
                <c:pt idx="113">
                  <c:v>0.9993609316196832</c:v>
                </c:pt>
                <c:pt idx="114">
                  <c:v>0.99943193921749618</c:v>
                </c:pt>
                <c:pt idx="115">
                  <c:v>0.99971596960874798</c:v>
                </c:pt>
                <c:pt idx="116">
                  <c:v>0.99971596960874798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26957952"/>
        <c:axId val="233145472"/>
      </c:scatterChart>
      <c:valAx>
        <c:axId val="226957952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284037558685446"/>
              <c:y val="0.94071729288872463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33145472"/>
        <c:crossesAt val="1.0000000000000041E-3"/>
        <c:crossBetween val="midCat"/>
        <c:majorUnit val="0.2"/>
        <c:minorUnit val="0.1"/>
      </c:valAx>
      <c:valAx>
        <c:axId val="233145472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575" b="0"/>
                  <a:t>Pore Throat Radius, microns.</a:t>
                </a:r>
              </a:p>
            </c:rich>
          </c:tx>
          <c:layout>
            <c:manualLayout>
              <c:xMode val="edge"/>
              <c:yMode val="edge"/>
              <c:x val="1.7605633802816906E-2"/>
              <c:y val="0.288590956331800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75"/>
            </a:pPr>
            <a:endParaRPr lang="en-US"/>
          </a:p>
        </c:txPr>
        <c:crossAx val="226957952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6901411284906759"/>
          <c:y val="6.0402679443359433E-2"/>
          <c:w val="0.4260563032526869"/>
          <c:h val="9.3959729633634068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505"/>
          </a:pPr>
          <a:endParaRPr lang="en-US"/>
        </a:p>
      </c:txPr>
    </c:legend>
    <c:plotVisOnly val="1"/>
    <c:dispBlanksAs val="gap"/>
    <c:showDLblsOverMax val="0"/>
  </c:chart>
  <c:spPr>
    <a:solidFill>
      <a:schemeClr val="accent1">
        <a:lumMod val="40000"/>
        <a:lumOff val="60000"/>
      </a:schemeClr>
    </a:solidFill>
    <a:ln w="3175">
      <a:solidFill>
        <a:sysClr val="windowText" lastClr="000000"/>
      </a:solidFill>
    </a:ln>
  </c:spPr>
  <c:txPr>
    <a:bodyPr/>
    <a:lstStyle/>
    <a:p>
      <a:pPr>
        <a:defRPr sz="6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921" r="0.75000000000000921" t="1" header="0.5" footer="0.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 Data V.S. Pore Size Distrubition</a:t>
            </a:r>
          </a:p>
        </c:rich>
      </c:tx>
      <c:layout>
        <c:manualLayout>
          <c:xMode val="edge"/>
          <c:yMode val="edge"/>
          <c:x val="0.34320591413962531"/>
          <c:y val="5.312651972015200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278"/>
        </c:manualLayout>
      </c:layout>
      <c:scatterChart>
        <c:scatterStyle val="line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1.5533980582524275E-2</c:v>
                </c:pt>
                <c:pt idx="42">
                  <c:v>2.0388349514563111E-2</c:v>
                </c:pt>
                <c:pt idx="43">
                  <c:v>3.2038834951456319E-2</c:v>
                </c:pt>
                <c:pt idx="44">
                  <c:v>4.2718446601941754E-2</c:v>
                </c:pt>
                <c:pt idx="45">
                  <c:v>5.8252427184466014E-2</c:v>
                </c:pt>
                <c:pt idx="46">
                  <c:v>0.10291262135922336</c:v>
                </c:pt>
                <c:pt idx="47">
                  <c:v>0.1553398058252427</c:v>
                </c:pt>
                <c:pt idx="48">
                  <c:v>0.29417475728155357</c:v>
                </c:pt>
                <c:pt idx="49">
                  <c:v>0.43009708737864072</c:v>
                </c:pt>
                <c:pt idx="50">
                  <c:v>0.69320388349514583</c:v>
                </c:pt>
                <c:pt idx="51">
                  <c:v>0.81650485436893228</c:v>
                </c:pt>
                <c:pt idx="52">
                  <c:v>1</c:v>
                </c:pt>
                <c:pt idx="53">
                  <c:v>0.94757281553398109</c:v>
                </c:pt>
                <c:pt idx="54">
                  <c:v>0.61067961165048534</c:v>
                </c:pt>
                <c:pt idx="55">
                  <c:v>0.44271844660194221</c:v>
                </c:pt>
                <c:pt idx="56">
                  <c:v>0.37281553398058292</c:v>
                </c:pt>
                <c:pt idx="57">
                  <c:v>0.33106796116504739</c:v>
                </c:pt>
                <c:pt idx="58">
                  <c:v>0.30485436893204026</c:v>
                </c:pt>
                <c:pt idx="59">
                  <c:v>0.26504854368931979</c:v>
                </c:pt>
                <c:pt idx="60">
                  <c:v>0.25922330097087376</c:v>
                </c:pt>
                <c:pt idx="61">
                  <c:v>0.24660194174757225</c:v>
                </c:pt>
                <c:pt idx="62">
                  <c:v>0.2524271844660198</c:v>
                </c:pt>
                <c:pt idx="63">
                  <c:v>0.24563106796116432</c:v>
                </c:pt>
                <c:pt idx="64">
                  <c:v>0.23689320388349602</c:v>
                </c:pt>
                <c:pt idx="65">
                  <c:v>0.23398058252427226</c:v>
                </c:pt>
                <c:pt idx="66">
                  <c:v>0.23009708737864054</c:v>
                </c:pt>
                <c:pt idx="67">
                  <c:v>0.21941747572815487</c:v>
                </c:pt>
                <c:pt idx="68">
                  <c:v>0.2194174757281564</c:v>
                </c:pt>
                <c:pt idx="69">
                  <c:v>0.2165048543689311</c:v>
                </c:pt>
                <c:pt idx="70">
                  <c:v>0.2077669902912628</c:v>
                </c:pt>
                <c:pt idx="71">
                  <c:v>0.19902912621359148</c:v>
                </c:pt>
                <c:pt idx="72">
                  <c:v>0.20388349514563109</c:v>
                </c:pt>
                <c:pt idx="73">
                  <c:v>0.18252427184465975</c:v>
                </c:pt>
                <c:pt idx="74">
                  <c:v>0.18834951456310731</c:v>
                </c:pt>
                <c:pt idx="75">
                  <c:v>0.16116504854368993</c:v>
                </c:pt>
                <c:pt idx="76">
                  <c:v>0.17184466019417408</c:v>
                </c:pt>
                <c:pt idx="77">
                  <c:v>0.16213592233009785</c:v>
                </c:pt>
                <c:pt idx="78">
                  <c:v>0.15728155339805824</c:v>
                </c:pt>
                <c:pt idx="79">
                  <c:v>0.15242718446601861</c:v>
                </c:pt>
                <c:pt idx="80">
                  <c:v>0.14174757281553446</c:v>
                </c:pt>
                <c:pt idx="81">
                  <c:v>0.13786407766990275</c:v>
                </c:pt>
                <c:pt idx="82">
                  <c:v>0.1359223300970869</c:v>
                </c:pt>
                <c:pt idx="83">
                  <c:v>0.13009708737864237</c:v>
                </c:pt>
                <c:pt idx="84">
                  <c:v>0.12135922330096952</c:v>
                </c:pt>
                <c:pt idx="85">
                  <c:v>0.12621359223301218</c:v>
                </c:pt>
                <c:pt idx="86">
                  <c:v>0.11941747572815518</c:v>
                </c:pt>
                <c:pt idx="87">
                  <c:v>0.1165048543689314</c:v>
                </c:pt>
                <c:pt idx="88">
                  <c:v>0.11165048543689178</c:v>
                </c:pt>
                <c:pt idx="89">
                  <c:v>0.11553398058252499</c:v>
                </c:pt>
                <c:pt idx="90">
                  <c:v>0.10873786407767103</c:v>
                </c:pt>
                <c:pt idx="91">
                  <c:v>9.5145631067961589E-2</c:v>
                </c:pt>
                <c:pt idx="92">
                  <c:v>9.1262135922328361E-2</c:v>
                </c:pt>
                <c:pt idx="93">
                  <c:v>9.8058252427183842E-2</c:v>
                </c:pt>
                <c:pt idx="94">
                  <c:v>8.2524271844661573E-2</c:v>
                </c:pt>
                <c:pt idx="95">
                  <c:v>8.7378640776698172E-2</c:v>
                </c:pt>
                <c:pt idx="96">
                  <c:v>7.5728155339806091E-2</c:v>
                </c:pt>
                <c:pt idx="97">
                  <c:v>7.1844660194175916E-2</c:v>
                </c:pt>
                <c:pt idx="98">
                  <c:v>7.4757281553396657E-2</c:v>
                </c:pt>
                <c:pt idx="99">
                  <c:v>6.5048543689321947E-2</c:v>
                </c:pt>
                <c:pt idx="100">
                  <c:v>6.0194174757280797E-2</c:v>
                </c:pt>
                <c:pt idx="101">
                  <c:v>6.2135922330096648E-2</c:v>
                </c:pt>
                <c:pt idx="102">
                  <c:v>5.3398058252428347E-2</c:v>
                </c:pt>
                <c:pt idx="103">
                  <c:v>4.9514563106795126E-2</c:v>
                </c:pt>
                <c:pt idx="104">
                  <c:v>3.3980582524271344E-2</c:v>
                </c:pt>
                <c:pt idx="105">
                  <c:v>2.6213592233009453E-2</c:v>
                </c:pt>
                <c:pt idx="106">
                  <c:v>4.4660194174758534E-2</c:v>
                </c:pt>
                <c:pt idx="107">
                  <c:v>3.1067961165047564E-2</c:v>
                </c:pt>
                <c:pt idx="108">
                  <c:v>2.4271844660196638E-2</c:v>
                </c:pt>
                <c:pt idx="109">
                  <c:v>3.0097087378639639E-2</c:v>
                </c:pt>
                <c:pt idx="110">
                  <c:v>2.5242718446600008E-2</c:v>
                </c:pt>
                <c:pt idx="111">
                  <c:v>0</c:v>
                </c:pt>
                <c:pt idx="112">
                  <c:v>1.9417475728155487E-2</c:v>
                </c:pt>
                <c:pt idx="113">
                  <c:v>1.4563106796117374E-2</c:v>
                </c:pt>
                <c:pt idx="114">
                  <c:v>9.7087378640792611E-4</c:v>
                </c:pt>
                <c:pt idx="115">
                  <c:v>3.8834951456301866E-3</c:v>
                </c:pt>
                <c:pt idx="116">
                  <c:v>0</c:v>
                </c:pt>
                <c:pt idx="117">
                  <c:v>3.8834951456332228E-3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55871616"/>
        <c:axId val="255894656"/>
      </c:scatterChart>
      <c:valAx>
        <c:axId val="255871616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40037962382730313"/>
              <c:y val="0.9257746293419008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55894656"/>
        <c:crosses val="autoZero"/>
        <c:crossBetween val="midCat"/>
      </c:valAx>
      <c:valAx>
        <c:axId val="25589465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Dristubition Function</a:t>
                </a:r>
              </a:p>
            </c:rich>
          </c:tx>
          <c:layout>
            <c:manualLayout>
              <c:xMode val="edge"/>
              <c:yMode val="edge"/>
              <c:x val="3.5392202272293852E-2"/>
              <c:y val="0.3088685820627020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255871616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chemeClr val="dk1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44" r="0.75000000000000844" t="1" header="0.5" footer="0.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Saturation vs Log Pore Throat Size</a:t>
            </a:r>
          </a:p>
        </c:rich>
      </c:tx>
      <c:layout>
        <c:manualLayout>
          <c:xMode val="edge"/>
          <c:yMode val="edge"/>
          <c:x val="0.33093532012654897"/>
          <c:y val="3.10422220844448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664490420478818"/>
          <c:y val="0.10419268510258722"/>
          <c:w val="0.79829436705027268"/>
          <c:h val="0.76090414211159918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800080"/>
              </a:solidFill>
            </a:ln>
          </c:spPr>
          <c:marker>
            <c:symbol val="diamond"/>
            <c:size val="3"/>
            <c:spPr>
              <a:solidFill>
                <a:srgbClr val="800080"/>
              </a:solidFill>
              <a:ln>
                <a:solidFill>
                  <a:srgbClr val="80008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xVal>
          <c:yVal>
            <c:numRef>
              <c:f>'Raw Data'!$E$18:$E$136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1.1361215650074537E-3</c:v>
                </c:pt>
                <c:pt idx="42">
                  <c:v>2.6272811190797426E-3</c:v>
                </c:pt>
                <c:pt idx="43">
                  <c:v>4.9705318469076233E-3</c:v>
                </c:pt>
                <c:pt idx="44">
                  <c:v>8.0948661506781167E-3</c:v>
                </c:pt>
                <c:pt idx="45">
                  <c:v>1.2355322019456079E-2</c:v>
                </c:pt>
                <c:pt idx="46">
                  <c:v>1.9882127387630472E-2</c:v>
                </c:pt>
                <c:pt idx="47">
                  <c:v>3.124334303770503E-2</c:v>
                </c:pt>
                <c:pt idx="48">
                  <c:v>5.275864517503373E-2</c:v>
                </c:pt>
                <c:pt idx="49">
                  <c:v>8.4215011006177648E-2</c:v>
                </c:pt>
                <c:pt idx="50">
                  <c:v>0.13491443584463536</c:v>
                </c:pt>
                <c:pt idx="51">
                  <c:v>0.19463182560533976</c:v>
                </c:pt>
                <c:pt idx="52">
                  <c:v>0.2677696513526947</c:v>
                </c:pt>
                <c:pt idx="53">
                  <c:v>0.33707306681814952</c:v>
                </c:pt>
                <c:pt idx="54">
                  <c:v>0.38173684584250511</c:v>
                </c:pt>
                <c:pt idx="55">
                  <c:v>0.41411631044521763</c:v>
                </c:pt>
                <c:pt idx="56">
                  <c:v>0.44138322800539659</c:v>
                </c:pt>
                <c:pt idx="57">
                  <c:v>0.4655968188596179</c:v>
                </c:pt>
                <c:pt idx="58">
                  <c:v>0.48789320457288932</c:v>
                </c:pt>
                <c:pt idx="59">
                  <c:v>0.50727827877582898</c:v>
                </c:pt>
                <c:pt idx="60">
                  <c:v>0.5262373073918909</c:v>
                </c:pt>
                <c:pt idx="61">
                  <c:v>0.54427323723638421</c:v>
                </c:pt>
                <c:pt idx="62">
                  <c:v>0.56273521266775539</c:v>
                </c:pt>
                <c:pt idx="63">
                  <c:v>0.58070013491443573</c:v>
                </c:pt>
                <c:pt idx="64">
                  <c:v>0.59802598878079949</c:v>
                </c:pt>
                <c:pt idx="65">
                  <c:v>0.61513881985372432</c:v>
                </c:pt>
                <c:pt idx="66">
                  <c:v>0.63196762053539723</c:v>
                </c:pt>
                <c:pt idx="67">
                  <c:v>0.64801533764112751</c:v>
                </c:pt>
                <c:pt idx="68">
                  <c:v>0.66406305474685789</c:v>
                </c:pt>
                <c:pt idx="69">
                  <c:v>0.67989774905914924</c:v>
                </c:pt>
                <c:pt idx="70">
                  <c:v>0.695093374991124</c:v>
                </c:pt>
                <c:pt idx="71">
                  <c:v>0.70964993254278197</c:v>
                </c:pt>
                <c:pt idx="72">
                  <c:v>0.72456152808350482</c:v>
                </c:pt>
                <c:pt idx="73">
                  <c:v>0.73791095647234262</c:v>
                </c:pt>
                <c:pt idx="74">
                  <c:v>0.75168643044805805</c:v>
                </c:pt>
                <c:pt idx="75">
                  <c:v>0.76347369168501034</c:v>
                </c:pt>
                <c:pt idx="76">
                  <c:v>0.77604203649790537</c:v>
                </c:pt>
                <c:pt idx="77">
                  <c:v>0.78790030533267053</c:v>
                </c:pt>
                <c:pt idx="78">
                  <c:v>0.79940353617837101</c:v>
                </c:pt>
                <c:pt idx="79">
                  <c:v>0.81055172903500683</c:v>
                </c:pt>
                <c:pt idx="80">
                  <c:v>0.82091883831569967</c:v>
                </c:pt>
                <c:pt idx="81">
                  <c:v>0.83100191720514094</c:v>
                </c:pt>
                <c:pt idx="82">
                  <c:v>0.84094298089895603</c:v>
                </c:pt>
                <c:pt idx="83">
                  <c:v>0.85045799900589369</c:v>
                </c:pt>
                <c:pt idx="84">
                  <c:v>0.85933394873251423</c:v>
                </c:pt>
                <c:pt idx="85">
                  <c:v>0.8685649364482001</c:v>
                </c:pt>
                <c:pt idx="86">
                  <c:v>0.87729887097919479</c:v>
                </c:pt>
                <c:pt idx="87">
                  <c:v>0.88581978271675066</c:v>
                </c:pt>
                <c:pt idx="88">
                  <c:v>0.89398565646524164</c:v>
                </c:pt>
                <c:pt idx="89">
                  <c:v>0.90243556060498475</c:v>
                </c:pt>
                <c:pt idx="90">
                  <c:v>0.91038841156003703</c:v>
                </c:pt>
                <c:pt idx="91">
                  <c:v>0.91734715614570761</c:v>
                </c:pt>
                <c:pt idx="92">
                  <c:v>0.92402187034012628</c:v>
                </c:pt>
                <c:pt idx="93">
                  <c:v>0.9311936377192358</c:v>
                </c:pt>
                <c:pt idx="94">
                  <c:v>0.93722928353333801</c:v>
                </c:pt>
                <c:pt idx="95">
                  <c:v>0.94361996733650488</c:v>
                </c:pt>
                <c:pt idx="96">
                  <c:v>0.94915855996591625</c:v>
                </c:pt>
                <c:pt idx="97">
                  <c:v>0.95441312220407581</c:v>
                </c:pt>
                <c:pt idx="98">
                  <c:v>0.95988070723567409</c:v>
                </c:pt>
                <c:pt idx="99">
                  <c:v>0.96463821628914304</c:v>
                </c:pt>
                <c:pt idx="100">
                  <c:v>0.96904068735354676</c:v>
                </c:pt>
                <c:pt idx="101">
                  <c:v>0.97358517361357677</c:v>
                </c:pt>
                <c:pt idx="102">
                  <c:v>0.97749059149328987</c:v>
                </c:pt>
                <c:pt idx="103">
                  <c:v>0.98111197898175095</c:v>
                </c:pt>
                <c:pt idx="104">
                  <c:v>0.98359724490520495</c:v>
                </c:pt>
                <c:pt idx="105">
                  <c:v>0.98551445004615501</c:v>
                </c:pt>
                <c:pt idx="106">
                  <c:v>0.98878079954555131</c:v>
                </c:pt>
                <c:pt idx="107">
                  <c:v>0.99105304267556638</c:v>
                </c:pt>
                <c:pt idx="108">
                  <c:v>0.99282823262089048</c:v>
                </c:pt>
                <c:pt idx="109">
                  <c:v>0.99502946815309234</c:v>
                </c:pt>
                <c:pt idx="110">
                  <c:v>0.99687566569622954</c:v>
                </c:pt>
                <c:pt idx="111">
                  <c:v>0.99687566569622954</c:v>
                </c:pt>
                <c:pt idx="112">
                  <c:v>0.99829581765248865</c:v>
                </c:pt>
                <c:pt idx="113">
                  <c:v>0.9993609316196832</c:v>
                </c:pt>
                <c:pt idx="114">
                  <c:v>0.99943193921749629</c:v>
                </c:pt>
                <c:pt idx="115">
                  <c:v>0.9997159696087482</c:v>
                </c:pt>
                <c:pt idx="116">
                  <c:v>0.9997159696087482</c:v>
                </c:pt>
                <c:pt idx="117">
                  <c:v>1</c:v>
                </c:pt>
                <c:pt idx="118">
                  <c:v>1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3083904"/>
        <c:axId val="263087616"/>
      </c:scatterChart>
      <c:valAx>
        <c:axId val="26308390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9768561318499929"/>
              <c:y val="0.94279921086959595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63087616"/>
        <c:crosses val="autoZero"/>
        <c:crossBetween val="midCat"/>
      </c:valAx>
      <c:valAx>
        <c:axId val="263087616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Mercury Saturation, fractional</a:t>
                </a:r>
              </a:p>
            </c:rich>
          </c:tx>
          <c:layout>
            <c:manualLayout>
              <c:xMode val="edge"/>
              <c:yMode val="edge"/>
              <c:x val="1.7213682297809941E-2"/>
              <c:y val="0.3316704011463378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263083904"/>
        <c:crossesAt val="1.0000000000000041E-3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1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825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1">
                <a:latin typeface="Arial"/>
              </a:rPr>
              <a:t>d Sw / d Log Pore Throat Size vs Log Pore Throat Size</a:t>
            </a:r>
          </a:p>
        </c:rich>
      </c:tx>
      <c:layout>
        <c:manualLayout>
          <c:xMode val="edge"/>
          <c:yMode val="edge"/>
          <c:x val="0.2429618814204548"/>
          <c:y val="3.1012615102564058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449448905544897"/>
          <c:y val="0.10031489965429066"/>
          <c:w val="0.81356164375743056"/>
          <c:h val="0.76537560680389582"/>
        </c:manualLayout>
      </c:layout>
      <c:scatterChart>
        <c:scatterStyle val="smoothMarker"/>
        <c:varyColors val="0"/>
        <c:ser>
          <c:idx val="0"/>
          <c:order val="0"/>
          <c:tx>
            <c:v>Sat. (Frac)</c:v>
          </c:tx>
          <c:spPr>
            <a:ln w="12700">
              <a:solidFill>
                <a:srgbClr val="FF0000"/>
              </a:solidFill>
            </a:ln>
          </c:spPr>
          <c:marker>
            <c:symbol val="diamond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xVal>
          <c:yVal>
            <c:numRef>
              <c:f>Table!$J$18:$J$136</c:f>
              <c:numCache>
                <c:formatCode>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2.1296705104813254E-2</c:v>
                </c:pt>
                <c:pt idx="42">
                  <c:v>4.1972402620219264E-2</c:v>
                </c:pt>
                <c:pt idx="43">
                  <c:v>5.1965181458497628E-2</c:v>
                </c:pt>
                <c:pt idx="44">
                  <c:v>0.10699252423317529</c:v>
                </c:pt>
                <c:pt idx="45">
                  <c:v>0.11117470424105573</c:v>
                </c:pt>
                <c:pt idx="46">
                  <c:v>0.16274601022430188</c:v>
                </c:pt>
                <c:pt idx="47">
                  <c:v>0.27195452346960003</c:v>
                </c:pt>
                <c:pt idx="48">
                  <c:v>0.56879529583074417</c:v>
                </c:pt>
                <c:pt idx="49">
                  <c:v>0.80145642085485702</c:v>
                </c:pt>
                <c:pt idx="50">
                  <c:v>1.2761843911407693</c:v>
                </c:pt>
                <c:pt idx="51">
                  <c:v>1.5562197387799976</c:v>
                </c:pt>
                <c:pt idx="52">
                  <c:v>1.9000420826973856</c:v>
                </c:pt>
                <c:pt idx="53">
                  <c:v>1.700296792726318</c:v>
                </c:pt>
                <c:pt idx="54">
                  <c:v>1.156383167135252</c:v>
                </c:pt>
                <c:pt idx="55">
                  <c:v>0.83260756140807757</c:v>
                </c:pt>
                <c:pt idx="56">
                  <c:v>0.70008323973101161</c:v>
                </c:pt>
                <c:pt idx="57">
                  <c:v>0.58479752043467637</c:v>
                </c:pt>
                <c:pt idx="58">
                  <c:v>0.58102856215404808</c:v>
                </c:pt>
                <c:pt idx="59">
                  <c:v>0.4904237254505488</c:v>
                </c:pt>
                <c:pt idx="60">
                  <c:v>0.48513122118247382</c:v>
                </c:pt>
                <c:pt idx="61">
                  <c:v>0.46973627533582807</c:v>
                </c:pt>
                <c:pt idx="62">
                  <c:v>0.46729243457319486</c:v>
                </c:pt>
                <c:pt idx="63">
                  <c:v>0.45883967985132523</c:v>
                </c:pt>
                <c:pt idx="64">
                  <c:v>0.44144724859882795</c:v>
                </c:pt>
                <c:pt idx="65">
                  <c:v>0.441138954402581</c:v>
                </c:pt>
                <c:pt idx="66">
                  <c:v>0.43078163886065374</c:v>
                </c:pt>
                <c:pt idx="67">
                  <c:v>0.41568444017163875</c:v>
                </c:pt>
                <c:pt idx="68">
                  <c:v>0.40674275860987152</c:v>
                </c:pt>
                <c:pt idx="69">
                  <c:v>0.4064711489229082</c:v>
                </c:pt>
                <c:pt idx="70">
                  <c:v>0.38742318639067502</c:v>
                </c:pt>
                <c:pt idx="71">
                  <c:v>0.37670765252037147</c:v>
                </c:pt>
                <c:pt idx="72">
                  <c:v>0.37898568833021262</c:v>
                </c:pt>
                <c:pt idx="73">
                  <c:v>0.35860044389450185</c:v>
                </c:pt>
                <c:pt idx="74">
                  <c:v>0.34990277966169087</c:v>
                </c:pt>
                <c:pt idx="75">
                  <c:v>0.29488248562200947</c:v>
                </c:pt>
                <c:pt idx="76">
                  <c:v>0.31809119762014093</c:v>
                </c:pt>
                <c:pt idx="77">
                  <c:v>0.30327799281034135</c:v>
                </c:pt>
                <c:pt idx="78">
                  <c:v>0.30243748268053328</c:v>
                </c:pt>
                <c:pt idx="79">
                  <c:v>0.2725439460471753</c:v>
                </c:pt>
                <c:pt idx="80">
                  <c:v>0.26813314953324946</c:v>
                </c:pt>
                <c:pt idx="81">
                  <c:v>0.26717646897467551</c:v>
                </c:pt>
                <c:pt idx="82">
                  <c:v>0.24624800403419012</c:v>
                </c:pt>
                <c:pt idx="83">
                  <c:v>0.24662751873391328</c:v>
                </c:pt>
                <c:pt idx="84">
                  <c:v>0.2306180087148989</c:v>
                </c:pt>
                <c:pt idx="85">
                  <c:v>0.23319053408713833</c:v>
                </c:pt>
                <c:pt idx="86">
                  <c:v>0.22586562312947472</c:v>
                </c:pt>
                <c:pt idx="87">
                  <c:v>0.21670679529219383</c:v>
                </c:pt>
                <c:pt idx="88">
                  <c:v>0.20831143609675448</c:v>
                </c:pt>
                <c:pt idx="89">
                  <c:v>0.2179623581421696</c:v>
                </c:pt>
                <c:pt idx="90">
                  <c:v>0.20670609957295977</c:v>
                </c:pt>
                <c:pt idx="91">
                  <c:v>0.17739263314875559</c:v>
                </c:pt>
                <c:pt idx="92">
                  <c:v>0.17112809654381872</c:v>
                </c:pt>
                <c:pt idx="93">
                  <c:v>0.18184610459224865</c:v>
                </c:pt>
                <c:pt idx="94">
                  <c:v>0.15707036883547382</c:v>
                </c:pt>
                <c:pt idx="95">
                  <c:v>0.16203986895784772</c:v>
                </c:pt>
                <c:pt idx="96">
                  <c:v>0.14283501983429839</c:v>
                </c:pt>
                <c:pt idx="97">
                  <c:v>0.13482944920840503</c:v>
                </c:pt>
                <c:pt idx="98">
                  <c:v>0.13939032972481388</c:v>
                </c:pt>
                <c:pt idx="99">
                  <c:v>0.12154984778117814</c:v>
                </c:pt>
                <c:pt idx="100">
                  <c:v>0.11508417783276836</c:v>
                </c:pt>
                <c:pt idx="101">
                  <c:v>0.11832340522494868</c:v>
                </c:pt>
                <c:pt idx="102">
                  <c:v>9.4425671769535729E-2</c:v>
                </c:pt>
                <c:pt idx="103">
                  <c:v>9.5678173898537236E-2</c:v>
                </c:pt>
                <c:pt idx="104">
                  <c:v>6.2299887226547307E-2</c:v>
                </c:pt>
                <c:pt idx="105">
                  <c:v>4.9435109705801457E-2</c:v>
                </c:pt>
                <c:pt idx="106">
                  <c:v>8.6470563472913681E-2</c:v>
                </c:pt>
                <c:pt idx="107">
                  <c:v>5.8564818031513977E-2</c:v>
                </c:pt>
                <c:pt idx="108">
                  <c:v>4.5374772040596867E-2</c:v>
                </c:pt>
                <c:pt idx="109">
                  <c:v>5.6221891836400521E-2</c:v>
                </c:pt>
                <c:pt idx="110">
                  <c:v>4.5777960532708363E-2</c:v>
                </c:pt>
                <c:pt idx="111">
                  <c:v>0</c:v>
                </c:pt>
                <c:pt idx="112">
                  <c:v>3.6482263786513966E-2</c:v>
                </c:pt>
                <c:pt idx="113">
                  <c:v>2.7302695914663798E-2</c:v>
                </c:pt>
                <c:pt idx="114">
                  <c:v>1.826039499575669E-3</c:v>
                </c:pt>
                <c:pt idx="115">
                  <c:v>7.3470549725482654E-3</c:v>
                </c:pt>
                <c:pt idx="116">
                  <c:v>0</c:v>
                </c:pt>
                <c:pt idx="117">
                  <c:v>7.2902957059446591E-3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49280"/>
        <c:axId val="47264128"/>
      </c:scatterChart>
      <c:valAx>
        <c:axId val="47249280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Log Pore Throat Radius (Microns)</a:t>
                </a:r>
              </a:p>
            </c:rich>
          </c:tx>
          <c:layout>
            <c:manualLayout>
              <c:xMode val="edge"/>
              <c:yMode val="edge"/>
              <c:x val="0.37010695397441207"/>
              <c:y val="0.9408458794107461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47264128"/>
        <c:crosses val="autoZero"/>
        <c:crossBetween val="midCat"/>
      </c:valAx>
      <c:valAx>
        <c:axId val="47264128"/>
        <c:scaling>
          <c:orientation val="minMax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 Sw / d LOG Pore Throat Rad.</a:t>
                </a:r>
              </a:p>
            </c:rich>
          </c:tx>
          <c:layout>
            <c:manualLayout>
              <c:xMode val="edge"/>
              <c:yMode val="edge"/>
              <c:x val="2.0606709152410356E-2"/>
              <c:y val="0.3992641633777815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>
                <a:latin typeface="Arial"/>
              </a:defRPr>
            </a:pPr>
            <a:endParaRPr lang="en-US"/>
          </a:p>
        </c:txPr>
        <c:crossAx val="47249280"/>
        <c:crossesAt val="1.0000000000000041E-3"/>
        <c:crossBetween val="midCat"/>
        <c:majorUnit val="1"/>
        <c:minorUnit val="0.2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chemeClr val="accent5">
        <a:lumMod val="20000"/>
        <a:lumOff val="80000"/>
      </a:schemeClr>
    </a:solidFill>
    <a:ln>
      <a:solidFill>
        <a:sysClr val="windowText" lastClr="000000"/>
      </a:solidFill>
    </a:ln>
  </c:spPr>
  <c:txPr>
    <a:bodyPr/>
    <a:lstStyle/>
    <a:p>
      <a:pPr>
        <a:defRPr sz="9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966" r="0.75000000000000966" t="1" header="0.5" footer="0.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title>
      <c:tx>
        <c:rich>
          <a:bodyPr/>
          <a:lstStyle/>
          <a:p>
            <a:pPr>
              <a:defRPr/>
            </a:pPr>
            <a:r>
              <a:rPr lang="en-US" sz="800" b="0">
                <a:latin typeface="Arial"/>
              </a:rPr>
              <a:t>Normalized Pore Size Distribution VS Normalized Permeability</a:t>
            </a:r>
          </a:p>
        </c:rich>
      </c:tx>
      <c:layout>
        <c:manualLayout>
          <c:xMode val="edge"/>
          <c:yMode val="edge"/>
          <c:x val="0.2255588553160959"/>
          <c:y val="4.420790210588230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2130384661626489"/>
          <c:y val="0.16126507112319541"/>
          <c:w val="0.81528794194843257"/>
          <c:h val="0.67664041994752322"/>
        </c:manualLayout>
      </c:layout>
      <c:scatterChart>
        <c:scatterStyle val="smoothMarker"/>
        <c:varyColors val="0"/>
        <c:ser>
          <c:idx val="0"/>
          <c:order val="0"/>
          <c:tx>
            <c:v>Normalized Pore Size Distribution</c:v>
          </c:tx>
          <c:spPr>
            <a:ln w="15875">
              <a:solidFill>
                <a:schemeClr val="dk2">
                  <a:lumMod val="75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75000"/>
                </a:schemeClr>
              </a:solidFill>
              <a:ln>
                <a:solidFill>
                  <a:schemeClr val="dk2">
                    <a:lumMod val="75000"/>
                  </a:schemeClr>
                </a:solidFill>
              </a:ln>
            </c:spPr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xVal>
          <c:yVal>
            <c:numRef>
              <c:f>Table!$S$18:$S$136</c:f>
              <c:numCache>
                <c:formatCode>????0.000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1.5533980582524275E-2</c:v>
                </c:pt>
                <c:pt idx="42">
                  <c:v>2.0388349514563111E-2</c:v>
                </c:pt>
                <c:pt idx="43">
                  <c:v>3.2038834951456319E-2</c:v>
                </c:pt>
                <c:pt idx="44">
                  <c:v>4.2718446601941754E-2</c:v>
                </c:pt>
                <c:pt idx="45">
                  <c:v>5.8252427184466014E-2</c:v>
                </c:pt>
                <c:pt idx="46">
                  <c:v>0.10291262135922336</c:v>
                </c:pt>
                <c:pt idx="47">
                  <c:v>0.1553398058252427</c:v>
                </c:pt>
                <c:pt idx="48">
                  <c:v>0.29417475728155357</c:v>
                </c:pt>
                <c:pt idx="49">
                  <c:v>0.43009708737864072</c:v>
                </c:pt>
                <c:pt idx="50">
                  <c:v>0.69320388349514583</c:v>
                </c:pt>
                <c:pt idx="51">
                  <c:v>0.81650485436893228</c:v>
                </c:pt>
                <c:pt idx="52">
                  <c:v>1</c:v>
                </c:pt>
                <c:pt idx="53">
                  <c:v>0.94757281553398109</c:v>
                </c:pt>
                <c:pt idx="54">
                  <c:v>0.61067961165048534</c:v>
                </c:pt>
                <c:pt idx="55">
                  <c:v>0.44271844660194221</c:v>
                </c:pt>
                <c:pt idx="56">
                  <c:v>0.37281553398058292</c:v>
                </c:pt>
                <c:pt idx="57">
                  <c:v>0.33106796116504739</c:v>
                </c:pt>
                <c:pt idx="58">
                  <c:v>0.30485436893204026</c:v>
                </c:pt>
                <c:pt idx="59">
                  <c:v>0.26504854368931979</c:v>
                </c:pt>
                <c:pt idx="60">
                  <c:v>0.25922330097087376</c:v>
                </c:pt>
                <c:pt idx="61">
                  <c:v>0.24660194174757225</c:v>
                </c:pt>
                <c:pt idx="62">
                  <c:v>0.2524271844660198</c:v>
                </c:pt>
                <c:pt idx="63">
                  <c:v>0.24563106796116432</c:v>
                </c:pt>
                <c:pt idx="64">
                  <c:v>0.23689320388349602</c:v>
                </c:pt>
                <c:pt idx="65">
                  <c:v>0.23398058252427226</c:v>
                </c:pt>
                <c:pt idx="66">
                  <c:v>0.23009708737864054</c:v>
                </c:pt>
                <c:pt idx="67">
                  <c:v>0.21941747572815487</c:v>
                </c:pt>
                <c:pt idx="68">
                  <c:v>0.2194174757281564</c:v>
                </c:pt>
                <c:pt idx="69">
                  <c:v>0.2165048543689311</c:v>
                </c:pt>
                <c:pt idx="70">
                  <c:v>0.2077669902912628</c:v>
                </c:pt>
                <c:pt idx="71">
                  <c:v>0.19902912621359148</c:v>
                </c:pt>
                <c:pt idx="72">
                  <c:v>0.20388349514563109</c:v>
                </c:pt>
                <c:pt idx="73">
                  <c:v>0.18252427184465975</c:v>
                </c:pt>
                <c:pt idx="74">
                  <c:v>0.18834951456310731</c:v>
                </c:pt>
                <c:pt idx="75">
                  <c:v>0.16116504854368993</c:v>
                </c:pt>
                <c:pt idx="76">
                  <c:v>0.17184466019417408</c:v>
                </c:pt>
                <c:pt idx="77">
                  <c:v>0.16213592233009785</c:v>
                </c:pt>
                <c:pt idx="78">
                  <c:v>0.15728155339805824</c:v>
                </c:pt>
                <c:pt idx="79">
                  <c:v>0.15242718446601861</c:v>
                </c:pt>
                <c:pt idx="80">
                  <c:v>0.14174757281553446</c:v>
                </c:pt>
                <c:pt idx="81">
                  <c:v>0.13786407766990275</c:v>
                </c:pt>
                <c:pt idx="82">
                  <c:v>0.1359223300970869</c:v>
                </c:pt>
                <c:pt idx="83">
                  <c:v>0.13009708737864237</c:v>
                </c:pt>
                <c:pt idx="84">
                  <c:v>0.12135922330096952</c:v>
                </c:pt>
                <c:pt idx="85">
                  <c:v>0.12621359223301218</c:v>
                </c:pt>
                <c:pt idx="86">
                  <c:v>0.11941747572815518</c:v>
                </c:pt>
                <c:pt idx="87">
                  <c:v>0.1165048543689314</c:v>
                </c:pt>
                <c:pt idx="88">
                  <c:v>0.11165048543689178</c:v>
                </c:pt>
                <c:pt idx="89">
                  <c:v>0.11553398058252499</c:v>
                </c:pt>
                <c:pt idx="90">
                  <c:v>0.10873786407767103</c:v>
                </c:pt>
                <c:pt idx="91">
                  <c:v>9.5145631067961589E-2</c:v>
                </c:pt>
                <c:pt idx="92">
                  <c:v>9.1262135922328361E-2</c:v>
                </c:pt>
                <c:pt idx="93">
                  <c:v>9.8058252427183842E-2</c:v>
                </c:pt>
                <c:pt idx="94">
                  <c:v>8.2524271844661573E-2</c:v>
                </c:pt>
                <c:pt idx="95">
                  <c:v>8.7378640776698172E-2</c:v>
                </c:pt>
                <c:pt idx="96">
                  <c:v>7.5728155339806091E-2</c:v>
                </c:pt>
                <c:pt idx="97">
                  <c:v>7.1844660194175916E-2</c:v>
                </c:pt>
                <c:pt idx="98">
                  <c:v>7.4757281553396657E-2</c:v>
                </c:pt>
                <c:pt idx="99">
                  <c:v>6.5048543689321947E-2</c:v>
                </c:pt>
                <c:pt idx="100">
                  <c:v>6.0194174757280797E-2</c:v>
                </c:pt>
                <c:pt idx="101">
                  <c:v>6.2135922330096648E-2</c:v>
                </c:pt>
                <c:pt idx="102">
                  <c:v>5.3398058252428347E-2</c:v>
                </c:pt>
                <c:pt idx="103">
                  <c:v>4.9514563106795126E-2</c:v>
                </c:pt>
                <c:pt idx="104">
                  <c:v>3.3980582524271344E-2</c:v>
                </c:pt>
                <c:pt idx="105">
                  <c:v>2.6213592233009453E-2</c:v>
                </c:pt>
                <c:pt idx="106">
                  <c:v>4.4660194174758534E-2</c:v>
                </c:pt>
                <c:pt idx="107">
                  <c:v>3.1067961165047564E-2</c:v>
                </c:pt>
                <c:pt idx="108">
                  <c:v>2.4271844660196638E-2</c:v>
                </c:pt>
                <c:pt idx="109">
                  <c:v>3.0097087378639639E-2</c:v>
                </c:pt>
                <c:pt idx="110">
                  <c:v>2.5242718446600008E-2</c:v>
                </c:pt>
                <c:pt idx="111">
                  <c:v>0</c:v>
                </c:pt>
                <c:pt idx="112">
                  <c:v>1.9417475728155487E-2</c:v>
                </c:pt>
                <c:pt idx="113">
                  <c:v>1.4563106796117374E-2</c:v>
                </c:pt>
                <c:pt idx="114">
                  <c:v>9.7087378640792611E-4</c:v>
                </c:pt>
                <c:pt idx="115">
                  <c:v>3.8834951456301866E-3</c:v>
                </c:pt>
                <c:pt idx="116">
                  <c:v>0</c:v>
                </c:pt>
                <c:pt idx="117">
                  <c:v>3.8834951456332228E-3</c:v>
                </c:pt>
                <c:pt idx="11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Normalized Permeability</c:v>
          </c:tx>
          <c:marker>
            <c:symbol val="circle"/>
            <c:size val="5"/>
          </c:marker>
          <c:xVal>
            <c:numRef>
              <c:f>Table!$E$18:$E$136</c:f>
              <c:numCache>
                <c:formatCode>???0.000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xVal>
          <c:yVal>
            <c:numRef>
              <c:f>Table!$T$18:$T$136</c:f>
              <c:numCache>
                <c:formatCode>????0.000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0.98606141280286219</c:v>
                </c:pt>
                <c:pt idx="42">
                  <c:v>0.97052811093717284</c:v>
                </c:pt>
                <c:pt idx="43">
                  <c:v>0.95069581417959148</c:v>
                </c:pt>
                <c:pt idx="44">
                  <c:v>0.92758001587232253</c:v>
                </c:pt>
                <c:pt idx="45">
                  <c:v>0.90115817143890053</c:v>
                </c:pt>
                <c:pt idx="46">
                  <c:v>0.86343395964319669</c:v>
                </c:pt>
                <c:pt idx="47">
                  <c:v>0.81645731732551918</c:v>
                </c:pt>
                <c:pt idx="48">
                  <c:v>0.74171743019640413</c:v>
                </c:pt>
                <c:pt idx="49">
                  <c:v>0.6505130852527985</c:v>
                </c:pt>
                <c:pt idx="50">
                  <c:v>0.52809225722250619</c:v>
                </c:pt>
                <c:pt idx="51">
                  <c:v>0.4072534681678891</c:v>
                </c:pt>
                <c:pt idx="52">
                  <c:v>0.28329902077869196</c:v>
                </c:pt>
                <c:pt idx="53">
                  <c:v>0.18594463782961668</c:v>
                </c:pt>
                <c:pt idx="54">
                  <c:v>0.13342654257685926</c:v>
                </c:pt>
                <c:pt idx="55">
                  <c:v>0.10159595105303754</c:v>
                </c:pt>
                <c:pt idx="56">
                  <c:v>7.9192502444752622E-2</c:v>
                </c:pt>
                <c:pt idx="57">
                  <c:v>6.2751516404985996E-2</c:v>
                </c:pt>
                <c:pt idx="58">
                  <c:v>5.0064627276292573E-2</c:v>
                </c:pt>
                <c:pt idx="59">
                  <c:v>4.0870007944524889E-2</c:v>
                </c:pt>
                <c:pt idx="60">
                  <c:v>3.3358589544444706E-2</c:v>
                </c:pt>
                <c:pt idx="61">
                  <c:v>2.7370990888880065E-2</c:v>
                </c:pt>
                <c:pt idx="62">
                  <c:v>2.2261524839163549E-2</c:v>
                </c:pt>
                <c:pt idx="63">
                  <c:v>1.8109912329472233E-2</c:v>
                </c:pt>
                <c:pt idx="64">
                  <c:v>1.4768035616950836E-2</c:v>
                </c:pt>
                <c:pt idx="65">
                  <c:v>1.2007248783068247E-2</c:v>
                </c:pt>
                <c:pt idx="66">
                  <c:v>9.7393027730463544E-3</c:v>
                </c:pt>
                <c:pt idx="67">
                  <c:v>7.9288727223199018E-3</c:v>
                </c:pt>
                <c:pt idx="68">
                  <c:v>6.4192329970834683E-3</c:v>
                </c:pt>
                <c:pt idx="69">
                  <c:v>5.1742691658006601E-3</c:v>
                </c:pt>
                <c:pt idx="70">
                  <c:v>4.1769800994189143E-3</c:v>
                </c:pt>
                <c:pt idx="71">
                  <c:v>3.3773703167822022E-3</c:v>
                </c:pt>
                <c:pt idx="72">
                  <c:v>2.6940074085248789E-3</c:v>
                </c:pt>
                <c:pt idx="73">
                  <c:v>2.1786161854069341E-3</c:v>
                </c:pt>
                <c:pt idx="74">
                  <c:v>1.734964604447109E-3</c:v>
                </c:pt>
                <c:pt idx="75">
                  <c:v>1.4191713059815703E-3</c:v>
                </c:pt>
                <c:pt idx="76">
                  <c:v>1.138469920139884E-3</c:v>
                </c:pt>
                <c:pt idx="77">
                  <c:v>9.1726890963106378E-4</c:v>
                </c:pt>
                <c:pt idx="78">
                  <c:v>7.3716816440017041E-4</c:v>
                </c:pt>
                <c:pt idx="79">
                  <c:v>5.9259365007913178E-4</c:v>
                </c:pt>
                <c:pt idx="80">
                  <c:v>4.8007697842089581E-4</c:v>
                </c:pt>
                <c:pt idx="81">
                  <c:v>3.8810117904553021E-4</c:v>
                </c:pt>
                <c:pt idx="82">
                  <c:v>3.1280498854091565E-4</c:v>
                </c:pt>
                <c:pt idx="83">
                  <c:v>2.5246729214190022E-4</c:v>
                </c:pt>
                <c:pt idx="84">
                  <c:v>2.0532414180274294E-4</c:v>
                </c:pt>
                <c:pt idx="85">
                  <c:v>1.6446580013396161E-4</c:v>
                </c:pt>
                <c:pt idx="86">
                  <c:v>1.3211350803821187E-4</c:v>
                </c:pt>
                <c:pt idx="87">
                  <c:v>1.0577803130151775E-4</c:v>
                </c:pt>
                <c:pt idx="88">
                  <c:v>8.47083895929579E-5</c:v>
                </c:pt>
                <c:pt idx="89">
                  <c:v>6.6470657692052626E-5</c:v>
                </c:pt>
                <c:pt idx="90">
                  <c:v>5.209282264406756E-5</c:v>
                </c:pt>
                <c:pt idx="91">
                  <c:v>4.1591458858403207E-5</c:v>
                </c:pt>
                <c:pt idx="92">
                  <c:v>3.3174812400615927E-5</c:v>
                </c:pt>
                <c:pt idx="93">
                  <c:v>2.5633355079879294E-5</c:v>
                </c:pt>
                <c:pt idx="94">
                  <c:v>2.0315946061333356E-5</c:v>
                </c:pt>
                <c:pt idx="95">
                  <c:v>1.5620836480545464E-5</c:v>
                </c:pt>
                <c:pt idx="96">
                  <c:v>1.2217181585505443E-5</c:v>
                </c:pt>
                <c:pt idx="97">
                  <c:v>9.5185798179020509E-6</c:v>
                </c:pt>
                <c:pt idx="98">
                  <c:v>7.174632667528158E-6</c:v>
                </c:pt>
                <c:pt idx="99">
                  <c:v>5.4714897108620875E-6</c:v>
                </c:pt>
                <c:pt idx="100">
                  <c:v>4.1500137160088713E-6</c:v>
                </c:pt>
                <c:pt idx="101">
                  <c:v>3.0070487998523632E-6</c:v>
                </c:pt>
                <c:pt idx="102">
                  <c:v>2.1951606432590864E-6</c:v>
                </c:pt>
                <c:pt idx="103">
                  <c:v>1.5627424587716376E-6</c:v>
                </c:pt>
                <c:pt idx="104">
                  <c:v>1.2015669816900498E-6</c:v>
                </c:pt>
                <c:pt idx="105">
                  <c:v>9.6851679221021669E-7</c:v>
                </c:pt>
                <c:pt idx="106">
                  <c:v>6.3486359824782568E-7</c:v>
                </c:pt>
                <c:pt idx="107">
                  <c:v>4.4073483596029916E-7</c:v>
                </c:pt>
                <c:pt idx="108">
                  <c:v>3.1407636646996195E-7</c:v>
                </c:pt>
                <c:pt idx="109">
                  <c:v>1.8293169790073449E-7</c:v>
                </c:pt>
                <c:pt idx="110">
                  <c:v>9.1582760486375037E-8</c:v>
                </c:pt>
                <c:pt idx="111">
                  <c:v>9.1582760486375037E-8</c:v>
                </c:pt>
                <c:pt idx="112">
                  <c:v>4.234952777348866E-8</c:v>
                </c:pt>
                <c:pt idx="113">
                  <c:v>1.1496556595602669E-8</c:v>
                </c:pt>
                <c:pt idx="114">
                  <c:v>9.7769325968499743E-9</c:v>
                </c:pt>
                <c:pt idx="115">
                  <c:v>4.0202097206787357E-9</c:v>
                </c:pt>
                <c:pt idx="116">
                  <c:v>4.0202097206787357E-9</c:v>
                </c:pt>
                <c:pt idx="117">
                  <c:v>0</c:v>
                </c:pt>
                <c:pt idx="11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277184"/>
        <c:axId val="47279104"/>
      </c:scatterChart>
      <c:valAx>
        <c:axId val="47277184"/>
        <c:scaling>
          <c:logBase val="10"/>
          <c:orientation val="minMax"/>
          <c:max val="100"/>
          <c:min val="1.0000000000000041E-3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Pore Throat Radius (microns)</a:t>
                </a:r>
              </a:p>
            </c:rich>
          </c:tx>
          <c:layout>
            <c:manualLayout>
              <c:xMode val="edge"/>
              <c:yMode val="edge"/>
              <c:x val="0.37003231262758834"/>
              <c:y val="0.9257746022488091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47279104"/>
        <c:crosses val="autoZero"/>
        <c:crossBetween val="midCat"/>
      </c:valAx>
      <c:valAx>
        <c:axId val="47279104"/>
        <c:scaling>
          <c:orientation val="minMax"/>
          <c:max val="1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>
                    <a:latin typeface="Arial"/>
                  </a:rPr>
                  <a:t>Distribution Function</a:t>
                </a:r>
              </a:p>
            </c:rich>
          </c:tx>
          <c:layout>
            <c:manualLayout>
              <c:xMode val="edge"/>
              <c:yMode val="edge"/>
              <c:x val="1.753793951647354E-2"/>
              <c:y val="0.4148062770955122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out"/>
        <c:minorTickMark val="none"/>
        <c:tickLblPos val="nextTo"/>
        <c:spPr>
          <a:ln w="12700">
            <a:solidFill>
              <a:srgbClr val="000000"/>
            </a:solidFill>
          </a:ln>
        </c:spPr>
        <c:txPr>
          <a:bodyPr rot="0" vert="horz"/>
          <a:lstStyle/>
          <a:p>
            <a:pPr>
              <a:defRPr sz="600">
                <a:latin typeface="Arial"/>
              </a:defRPr>
            </a:pPr>
            <a:endParaRPr lang="en-US"/>
          </a:p>
        </c:txPr>
        <c:crossAx val="47277184"/>
        <c:crossesAt val="1.0000000000000041E-3"/>
        <c:crossBetween val="midCat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11980438171211132"/>
          <c:y val="0.162399962596813"/>
          <c:w val="0.33481595735151376"/>
          <c:h val="0.19742154872150416"/>
        </c:manualLayout>
      </c:layout>
      <c:overlay val="0"/>
      <c:spPr>
        <a:solidFill>
          <a:srgbClr val="FFFFFF"/>
        </a:solidFill>
        <a:ln>
          <a:solidFill>
            <a:sysClr val="windowText" lastClr="000000"/>
          </a:solidFill>
        </a:ln>
      </c:spPr>
    </c:legend>
    <c:plotVisOnly val="1"/>
    <c:dispBlanksAs val="gap"/>
    <c:showDLblsOverMax val="0"/>
  </c:chart>
  <c:spPr>
    <a:solidFill>
      <a:schemeClr val="lt2"/>
    </a:solidFill>
    <a:ln w="3175">
      <a:solidFill>
        <a:sysClr val="windowText" lastClr="000000"/>
      </a:solidFill>
    </a:ln>
  </c:spPr>
  <c:txPr>
    <a:bodyPr/>
    <a:lstStyle/>
    <a:p>
      <a:pPr>
        <a:defRPr sz="800">
          <a:solidFill>
            <a:srgbClr val="000000"/>
          </a:solidFill>
          <a:latin typeface="Times New Roman"/>
        </a:defRPr>
      </a:pPr>
      <a:endParaRPr lang="en-US"/>
    </a:p>
  </c:txPr>
  <c:printSettings>
    <c:headerFooter/>
    <c:pageMargins b="1" l="0.75000000000000866" r="0.75000000000000866" t="1" header="0.5" footer="0.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1059498670579271"/>
          <c:y val="0.15326975675683863"/>
          <c:w val="0.82827901825522265"/>
          <c:h val="0.72458777553660758"/>
        </c:manualLayout>
      </c:layout>
      <c:scatterChart>
        <c:scatterStyle val="lineMarker"/>
        <c:varyColors val="0"/>
        <c:ser>
          <c:idx val="0"/>
          <c:order val="0"/>
          <c:spPr>
            <a:ln w="15875">
              <a:solidFill>
                <a:schemeClr val="dk2">
                  <a:lumMod val="50000"/>
                </a:schemeClr>
              </a:solidFill>
            </a:ln>
          </c:spPr>
          <c:marker>
            <c:symbol val="circle"/>
            <c:size val="5"/>
            <c:spPr>
              <a:solidFill>
                <a:schemeClr val="dk2">
                  <a:lumMod val="60000"/>
                  <a:lumOff val="40000"/>
                </a:schemeClr>
              </a:solidFill>
              <a:ln>
                <a:solidFill>
                  <a:schemeClr val="dk2">
                    <a:lumMod val="50000"/>
                  </a:schemeClr>
                </a:solidFill>
              </a:ln>
            </c:spPr>
          </c:marker>
          <c:xVal>
            <c:numRef>
              <c:f>Table!$F$18:$F$136</c:f>
              <c:numCache>
                <c:formatCode>???0.000</c:formatCode>
                <c:ptCount val="119"/>
                <c:pt idx="0">
                  <c:v>120.19026718980196</c:v>
                </c:pt>
                <c:pt idx="1">
                  <c:v>114.49418756888142</c:v>
                </c:pt>
                <c:pt idx="2">
                  <c:v>100.60767370742884</c:v>
                </c:pt>
                <c:pt idx="3">
                  <c:v>90.76019702437948</c:v>
                </c:pt>
                <c:pt idx="4">
                  <c:v>84.087056883749895</c:v>
                </c:pt>
                <c:pt idx="5">
                  <c:v>77.220966254796252</c:v>
                </c:pt>
                <c:pt idx="6">
                  <c:v>70.675782133347852</c:v>
                </c:pt>
                <c:pt idx="7">
                  <c:v>64.771965504679429</c:v>
                </c:pt>
                <c:pt idx="8">
                  <c:v>59.244371384927334</c:v>
                </c:pt>
                <c:pt idx="9">
                  <c:v>54.458332208648294</c:v>
                </c:pt>
                <c:pt idx="10">
                  <c:v>49.490580126396658</c:v>
                </c:pt>
                <c:pt idx="11">
                  <c:v>45.32763472721124</c:v>
                </c:pt>
                <c:pt idx="12">
                  <c:v>41.466223108407867</c:v>
                </c:pt>
                <c:pt idx="13">
                  <c:v>37.90707092945263</c:v>
                </c:pt>
                <c:pt idx="14">
                  <c:v>34.746675071411872</c:v>
                </c:pt>
                <c:pt idx="15">
                  <c:v>31.778976266549471</c:v>
                </c:pt>
                <c:pt idx="16">
                  <c:v>29.074533038993867</c:v>
                </c:pt>
                <c:pt idx="17">
                  <c:v>26.547288294648627</c:v>
                </c:pt>
                <c:pt idx="18">
                  <c:v>24.272779157723267</c:v>
                </c:pt>
                <c:pt idx="19">
                  <c:v>22.230930001395091</c:v>
                </c:pt>
                <c:pt idx="20">
                  <c:v>20.317279012686374</c:v>
                </c:pt>
                <c:pt idx="21">
                  <c:v>18.561845236530321</c:v>
                </c:pt>
                <c:pt idx="22">
                  <c:v>16.995191343943318</c:v>
                </c:pt>
                <c:pt idx="23">
                  <c:v>15.421172553149839</c:v>
                </c:pt>
                <c:pt idx="24">
                  <c:v>14.232836752848172</c:v>
                </c:pt>
                <c:pt idx="25">
                  <c:v>12.924275458535927</c:v>
                </c:pt>
                <c:pt idx="26">
                  <c:v>11.846863977367947</c:v>
                </c:pt>
                <c:pt idx="27">
                  <c:v>10.865241776401337</c:v>
                </c:pt>
                <c:pt idx="28">
                  <c:v>9.9269154452425834</c:v>
                </c:pt>
                <c:pt idx="29">
                  <c:v>9.0479813088264542</c:v>
                </c:pt>
                <c:pt idx="30">
                  <c:v>8.2717864653455919</c:v>
                </c:pt>
                <c:pt idx="31">
                  <c:v>7.5572112545152015</c:v>
                </c:pt>
                <c:pt idx="32">
                  <c:v>6.8915143660308624</c:v>
                </c:pt>
                <c:pt idx="33">
                  <c:v>6.3280962518365502</c:v>
                </c:pt>
                <c:pt idx="34">
                  <c:v>6.1534619669823201</c:v>
                </c:pt>
                <c:pt idx="35">
                  <c:v>5.6321176360132572</c:v>
                </c:pt>
                <c:pt idx="36">
                  <c:v>5.040767454073829</c:v>
                </c:pt>
                <c:pt idx="37">
                  <c:v>4.5485990808197574</c:v>
                </c:pt>
                <c:pt idx="38">
                  <c:v>4.1438837696416844</c:v>
                </c:pt>
                <c:pt idx="39">
                  <c:v>3.7142177339280797</c:v>
                </c:pt>
                <c:pt idx="40">
                  <c:v>3.5232041473071818</c:v>
                </c:pt>
                <c:pt idx="41">
                  <c:v>3.1159502543876165</c:v>
                </c:pt>
                <c:pt idx="42">
                  <c:v>2.8711995186744352</c:v>
                </c:pt>
                <c:pt idx="43">
                  <c:v>2.5880380968701875</c:v>
                </c:pt>
                <c:pt idx="44">
                  <c:v>2.4197429811159159</c:v>
                </c:pt>
                <c:pt idx="45">
                  <c:v>2.2153740752623525</c:v>
                </c:pt>
                <c:pt idx="46">
                  <c:v>1.9915824170689558</c:v>
                </c:pt>
                <c:pt idx="47">
                  <c:v>1.8089315086258975</c:v>
                </c:pt>
                <c:pt idx="48">
                  <c:v>1.6580439313150472</c:v>
                </c:pt>
                <c:pt idx="49">
                  <c:v>1.5147711669917607</c:v>
                </c:pt>
                <c:pt idx="50">
                  <c:v>1.3823552913312038</c:v>
                </c:pt>
                <c:pt idx="51">
                  <c:v>1.2654538549693151</c:v>
                </c:pt>
                <c:pt idx="52">
                  <c:v>1.1581200307909467</c:v>
                </c:pt>
                <c:pt idx="53">
                  <c:v>1.0543722669818034</c:v>
                </c:pt>
                <c:pt idx="54">
                  <c:v>0.96465115659632372</c:v>
                </c:pt>
                <c:pt idx="55">
                  <c:v>0.88202533974060937</c:v>
                </c:pt>
                <c:pt idx="56">
                  <c:v>0.80636738620687376</c:v>
                </c:pt>
                <c:pt idx="57">
                  <c:v>0.73304033088861398</c:v>
                </c:pt>
                <c:pt idx="58">
                  <c:v>0.67104844921170437</c:v>
                </c:pt>
                <c:pt idx="59">
                  <c:v>0.61267009439376885</c:v>
                </c:pt>
                <c:pt idx="60">
                  <c:v>0.55994642336884581</c:v>
                </c:pt>
                <c:pt idx="61">
                  <c:v>0.51256696402234425</c:v>
                </c:pt>
                <c:pt idx="62">
                  <c:v>0.4679960782046016</c:v>
                </c:pt>
                <c:pt idx="63">
                  <c:v>0.42765078559580311</c:v>
                </c:pt>
                <c:pt idx="64">
                  <c:v>0.39069821552347367</c:v>
                </c:pt>
                <c:pt idx="65">
                  <c:v>0.35731318742803037</c:v>
                </c:pt>
                <c:pt idx="66">
                  <c:v>0.32657528282406523</c:v>
                </c:pt>
                <c:pt idx="67">
                  <c:v>0.29879806734055214</c:v>
                </c:pt>
                <c:pt idx="68">
                  <c:v>0.27284975426157754</c:v>
                </c:pt>
                <c:pt idx="69">
                  <c:v>0.24944055521684966</c:v>
                </c:pt>
                <c:pt idx="70">
                  <c:v>0.22790023394926376</c:v>
                </c:pt>
                <c:pt idx="71">
                  <c:v>0.20849865015772615</c:v>
                </c:pt>
                <c:pt idx="72">
                  <c:v>0.19043956579886376</c:v>
                </c:pt>
                <c:pt idx="73">
                  <c:v>0.17479568738935089</c:v>
                </c:pt>
                <c:pt idx="74">
                  <c:v>0.1596471906558336</c:v>
                </c:pt>
                <c:pt idx="75">
                  <c:v>0.14560910737395327</c:v>
                </c:pt>
                <c:pt idx="76">
                  <c:v>0.13294645885595732</c:v>
                </c:pt>
                <c:pt idx="77">
                  <c:v>0.12150004716907872</c:v>
                </c:pt>
                <c:pt idx="78">
                  <c:v>0.1113118437700209</c:v>
                </c:pt>
                <c:pt idx="79">
                  <c:v>0.10130646787247051</c:v>
                </c:pt>
                <c:pt idx="80">
                  <c:v>9.2677250170897105E-2</c:v>
                </c:pt>
                <c:pt idx="81">
                  <c:v>8.4963763644517534E-2</c:v>
                </c:pt>
                <c:pt idx="82">
                  <c:v>7.7421862213111245E-2</c:v>
                </c:pt>
                <c:pt idx="83">
                  <c:v>7.0840740518842052E-2</c:v>
                </c:pt>
                <c:pt idx="84">
                  <c:v>6.4832896199331441E-2</c:v>
                </c:pt>
                <c:pt idx="85">
                  <c:v>5.9184750420140403E-2</c:v>
                </c:pt>
                <c:pt idx="86">
                  <c:v>5.414284849428852E-2</c:v>
                </c:pt>
                <c:pt idx="87">
                  <c:v>4.9456240318969044E-2</c:v>
                </c:pt>
                <c:pt idx="88">
                  <c:v>4.5187756917278457E-2</c:v>
                </c:pt>
                <c:pt idx="89">
                  <c:v>4.1328825329185186E-2</c:v>
                </c:pt>
                <c:pt idx="90">
                  <c:v>3.782499383096017E-2</c:v>
                </c:pt>
                <c:pt idx="91">
                  <c:v>3.4558186390743789E-2</c:v>
                </c:pt>
                <c:pt idx="92">
                  <c:v>3.1589790410395835E-2</c:v>
                </c:pt>
                <c:pt idx="93">
                  <c:v>2.8847493270193352E-2</c:v>
                </c:pt>
                <c:pt idx="94">
                  <c:v>2.6404728106511111E-2</c:v>
                </c:pt>
                <c:pt idx="95">
                  <c:v>2.4112527752796313E-2</c:v>
                </c:pt>
                <c:pt idx="96">
                  <c:v>2.2052944636684547E-2</c:v>
                </c:pt>
                <c:pt idx="97">
                  <c:v>2.0160192245901907E-2</c:v>
                </c:pt>
                <c:pt idx="98">
                  <c:v>1.8419153783140345E-2</c:v>
                </c:pt>
                <c:pt idx="99">
                  <c:v>1.6831750266486405E-2</c:v>
                </c:pt>
                <c:pt idx="100">
                  <c:v>1.5412565073955343E-2</c:v>
                </c:pt>
                <c:pt idx="101">
                  <c:v>1.4108069539459913E-2</c:v>
                </c:pt>
                <c:pt idx="102">
                  <c:v>1.2826491780439547E-2</c:v>
                </c:pt>
                <c:pt idx="103">
                  <c:v>1.1755963129071487E-2</c:v>
                </c:pt>
                <c:pt idx="104">
                  <c:v>1.0724232829459441E-2</c:v>
                </c:pt>
                <c:pt idx="105">
                  <c:v>9.8080794905502956E-3</c:v>
                </c:pt>
                <c:pt idx="106">
                  <c:v>8.9910384784827289E-3</c:v>
                </c:pt>
                <c:pt idx="107">
                  <c:v>8.2226363244208844E-3</c:v>
                </c:pt>
                <c:pt idx="108">
                  <c:v>7.5142950288233533E-3</c:v>
                </c:pt>
                <c:pt idx="109">
                  <c:v>6.8665028041528268E-3</c:v>
                </c:pt>
                <c:pt idx="110">
                  <c:v>6.2575770350330705E-3</c:v>
                </c:pt>
                <c:pt idx="111">
                  <c:v>5.729048463348819E-3</c:v>
                </c:pt>
                <c:pt idx="112">
                  <c:v>5.2378771433634012E-3</c:v>
                </c:pt>
                <c:pt idx="113">
                  <c:v>4.7878881516611269E-3</c:v>
                </c:pt>
                <c:pt idx="114">
                  <c:v>4.3778197154384999E-3</c:v>
                </c:pt>
                <c:pt idx="115">
                  <c:v>4.0049656175873433E-3</c:v>
                </c:pt>
                <c:pt idx="116">
                  <c:v>3.6609647987913751E-3</c:v>
                </c:pt>
                <c:pt idx="117">
                  <c:v>3.3468441433144934E-3</c:v>
                </c:pt>
                <c:pt idx="118">
                  <c:v>3.082465381977823E-3</c:v>
                </c:pt>
              </c:numCache>
            </c:numRef>
          </c:xVal>
          <c:yVal>
            <c:numRef>
              <c:f>Table!$H$18:$H$136</c:f>
              <c:numCache>
                <c:formatCode>????0.00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0.11361215650074537</c:v>
                </c:pt>
                <c:pt idx="42">
                  <c:v>0.14911595540722888</c:v>
                </c:pt>
                <c:pt idx="43">
                  <c:v>0.23432507278278808</c:v>
                </c:pt>
                <c:pt idx="44">
                  <c:v>0.3124334303770494</c:v>
                </c:pt>
                <c:pt idx="45">
                  <c:v>0.42604558687779615</c:v>
                </c:pt>
                <c:pt idx="46">
                  <c:v>0.75268053681743941</c:v>
                </c:pt>
                <c:pt idx="47">
                  <c:v>1.1361215650074559</c:v>
                </c:pt>
                <c:pt idx="48">
                  <c:v>2.1515302137328698</c:v>
                </c:pt>
                <c:pt idx="49">
                  <c:v>3.1456365831143911</c:v>
                </c:pt>
                <c:pt idx="50">
                  <c:v>5.0699424838457716</c:v>
                </c:pt>
                <c:pt idx="51">
                  <c:v>5.9717389760704407</c:v>
                </c:pt>
                <c:pt idx="52">
                  <c:v>7.3137825747354945</c:v>
                </c:pt>
                <c:pt idx="53">
                  <c:v>6.9303415465454847</c:v>
                </c:pt>
                <c:pt idx="54">
                  <c:v>4.4663779024355534</c:v>
                </c:pt>
                <c:pt idx="55">
                  <c:v>3.2379464602712531</c:v>
                </c:pt>
                <c:pt idx="56">
                  <c:v>2.7266917560178996</c:v>
                </c:pt>
                <c:pt idx="57">
                  <c:v>2.4213590854221252</c:v>
                </c:pt>
                <c:pt idx="58">
                  <c:v>2.2296385713271434</c:v>
                </c:pt>
                <c:pt idx="59">
                  <c:v>1.9385074202939663</c:v>
                </c:pt>
                <c:pt idx="60">
                  <c:v>1.8959028616061957</c:v>
                </c:pt>
                <c:pt idx="61">
                  <c:v>1.803592984449331</c:v>
                </c:pt>
                <c:pt idx="62">
                  <c:v>1.8461975431371158</c:v>
                </c:pt>
                <c:pt idx="63">
                  <c:v>1.7964922246680359</c:v>
                </c:pt>
                <c:pt idx="64">
                  <c:v>1.732585386636373</c:v>
                </c:pt>
                <c:pt idx="65">
                  <c:v>1.7112831072924806</c:v>
                </c:pt>
                <c:pt idx="66">
                  <c:v>1.6828800681672931</c:v>
                </c:pt>
                <c:pt idx="67">
                  <c:v>1.6047717105730257</c:v>
                </c:pt>
                <c:pt idx="68">
                  <c:v>1.604771710573047</c:v>
                </c:pt>
                <c:pt idx="69">
                  <c:v>1.5834694312291333</c:v>
                </c:pt>
                <c:pt idx="70">
                  <c:v>1.5195625931974774</c:v>
                </c:pt>
                <c:pt idx="71">
                  <c:v>1.4556557551657932</c:v>
                </c:pt>
                <c:pt idx="72">
                  <c:v>1.4911595540722828</c:v>
                </c:pt>
                <c:pt idx="73">
                  <c:v>1.3349428388837765</c:v>
                </c:pt>
                <c:pt idx="74">
                  <c:v>1.3775473975715471</c:v>
                </c:pt>
                <c:pt idx="75">
                  <c:v>1.1787261236952276</c:v>
                </c:pt>
                <c:pt idx="76">
                  <c:v>1.256834481289502</c:v>
                </c:pt>
                <c:pt idx="77">
                  <c:v>1.1858268834765227</c:v>
                </c:pt>
                <c:pt idx="78">
                  <c:v>1.1503230845700472</c:v>
                </c:pt>
                <c:pt idx="79">
                  <c:v>1.1148192856635717</c:v>
                </c:pt>
                <c:pt idx="80">
                  <c:v>1.0367109280692972</c:v>
                </c:pt>
                <c:pt idx="81">
                  <c:v>1.0083078889441168</c:v>
                </c:pt>
                <c:pt idx="82">
                  <c:v>0.99410636938151242</c:v>
                </c:pt>
                <c:pt idx="83">
                  <c:v>0.95150181069377027</c:v>
                </c:pt>
                <c:pt idx="84">
                  <c:v>0.88759497266204335</c:v>
                </c:pt>
                <c:pt idx="85">
                  <c:v>0.92309877156858988</c:v>
                </c:pt>
                <c:pt idx="86">
                  <c:v>0.87339345309946737</c:v>
                </c:pt>
                <c:pt idx="87">
                  <c:v>0.85209117375559629</c:v>
                </c:pt>
                <c:pt idx="88">
                  <c:v>0.81658737484909238</c:v>
                </c:pt>
                <c:pt idx="89">
                  <c:v>0.8449904139743154</c:v>
                </c:pt>
                <c:pt idx="90">
                  <c:v>0.79528509550522131</c:v>
                </c:pt>
                <c:pt idx="91">
                  <c:v>0.69587445856706154</c:v>
                </c:pt>
                <c:pt idx="92">
                  <c:v>0.66747141944186694</c:v>
                </c:pt>
                <c:pt idx="93">
                  <c:v>0.71717673791094683</c:v>
                </c:pt>
                <c:pt idx="94">
                  <c:v>0.60356458141022529</c:v>
                </c:pt>
                <c:pt idx="95">
                  <c:v>0.63906838031668656</c:v>
                </c:pt>
                <c:pt idx="96">
                  <c:v>0.5538592629411454</c:v>
                </c:pt>
                <c:pt idx="97">
                  <c:v>0.52545622381595081</c:v>
                </c:pt>
                <c:pt idx="98">
                  <c:v>0.54675850315982188</c:v>
                </c:pt>
                <c:pt idx="99">
                  <c:v>0.47575090534689934</c:v>
                </c:pt>
                <c:pt idx="100">
                  <c:v>0.44024710644036702</c:v>
                </c:pt>
                <c:pt idx="101">
                  <c:v>0.45444862600301406</c:v>
                </c:pt>
                <c:pt idx="102">
                  <c:v>0.39054178797130135</c:v>
                </c:pt>
                <c:pt idx="103">
                  <c:v>0.36213874884610675</c:v>
                </c:pt>
                <c:pt idx="104">
                  <c:v>0.24852659234539942</c:v>
                </c:pt>
                <c:pt idx="105">
                  <c:v>0.19172051409501023</c:v>
                </c:pt>
                <c:pt idx="106">
                  <c:v>0.32663494993963127</c:v>
                </c:pt>
                <c:pt idx="107">
                  <c:v>0.22722431300149992</c:v>
                </c:pt>
                <c:pt idx="108">
                  <c:v>0.17751899453242004</c:v>
                </c:pt>
                <c:pt idx="109">
                  <c:v>0.2201235532201764</c:v>
                </c:pt>
                <c:pt idx="110">
                  <c:v>0.18461975431372935</c:v>
                </c:pt>
                <c:pt idx="111">
                  <c:v>0</c:v>
                </c:pt>
                <c:pt idx="112">
                  <c:v>0.14201519562590192</c:v>
                </c:pt>
                <c:pt idx="113">
                  <c:v>0.10651139671945486</c:v>
                </c:pt>
                <c:pt idx="114">
                  <c:v>7.1007597813093071E-3</c:v>
                </c:pt>
                <c:pt idx="115">
                  <c:v>2.8403039125194596E-2</c:v>
                </c:pt>
                <c:pt idx="116">
                  <c:v>0</c:v>
                </c:pt>
                <c:pt idx="117">
                  <c:v>2.8403039125180385E-2</c:v>
                </c:pt>
                <c:pt idx="118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7590400"/>
        <c:axId val="47592960"/>
      </c:scatterChart>
      <c:valAx>
        <c:axId val="47590400"/>
        <c:scaling>
          <c:logBase val="10"/>
          <c:orientation val="minMax"/>
          <c:max val="100"/>
          <c:min val="1.0000000000000041E-3"/>
        </c:scaling>
        <c:delete val="0"/>
        <c:axPos val="t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gradFill rotWithShape="1">
                <a:gsLst>
                  <a:gs pos="0">
                    <a:schemeClr val="accent1">
                      <a:tint val="66000"/>
                      <a:satMod val="160000"/>
                    </a:schemeClr>
                  </a:gs>
                  <a:gs pos="50000">
                    <a:schemeClr val="accent1">
                      <a:tint val="44500"/>
                      <a:satMod val="160000"/>
                    </a:schemeClr>
                  </a:gs>
                  <a:gs pos="100000">
                    <a:schemeClr val="accent1">
                      <a:tint val="23500"/>
                      <a:satMod val="160000"/>
                    </a:schemeClr>
                  </a:gs>
                </a:gsLst>
                <a:lin ang="5400000" scaled="0"/>
              </a:gra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Pore Aperture Diameter (microns)</a:t>
                </a:r>
              </a:p>
            </c:rich>
          </c:tx>
          <c:layout>
            <c:manualLayout>
              <c:xMode val="edge"/>
              <c:yMode val="edge"/>
              <c:x val="0.36675497039079008"/>
              <c:y val="0.92355761574540307"/>
            </c:manualLayout>
          </c:layout>
          <c:overlay val="0"/>
          <c:spPr>
            <a:noFill/>
            <a:ln w="25400">
              <a:noFill/>
            </a:ln>
          </c:spPr>
        </c:title>
        <c:numFmt formatCode="??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580"/>
            </a:pPr>
            <a:endParaRPr lang="en-US"/>
          </a:p>
        </c:txPr>
        <c:crossAx val="47592960"/>
        <c:crosses val="autoZero"/>
        <c:crossBetween val="midCat"/>
        <c:majorUnit val="10"/>
        <c:minorUnit val="10"/>
      </c:valAx>
      <c:valAx>
        <c:axId val="47592960"/>
        <c:scaling>
          <c:orientation val="maxMin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600" b="0"/>
                  <a:t>Incremental Intrusion as Percent of Pore Volume</a:t>
                </a:r>
              </a:p>
            </c:rich>
          </c:tx>
          <c:layout>
            <c:manualLayout>
              <c:xMode val="edge"/>
              <c:yMode val="edge"/>
              <c:x val="1.0568979145875295E-2"/>
              <c:y val="0.21251221534951711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-5400000" vert="horz"/>
          <a:lstStyle/>
          <a:p>
            <a:pPr>
              <a:defRPr sz="580"/>
            </a:pPr>
            <a:endParaRPr lang="en-US"/>
          </a:p>
        </c:txPr>
        <c:crossAx val="47590400"/>
        <c:crossesAt val="1.0000000000000041E-3"/>
        <c:crossBetween val="midCat"/>
      </c:valAx>
      <c:spPr>
        <a:noFill/>
        <a:ln w="3175">
          <a:solidFill>
            <a:srgbClr val="000000"/>
          </a:solidFill>
        </a:ln>
      </c:spPr>
    </c:plotArea>
    <c:plotVisOnly val="0"/>
    <c:dispBlanksAs val="gap"/>
    <c:showDLblsOverMax val="0"/>
  </c:chart>
  <c:spPr>
    <a:solidFill>
      <a:schemeClr val="accent2">
        <a:lumMod val="20000"/>
        <a:lumOff val="80000"/>
      </a:schemeClr>
    </a:solidFill>
    <a:ln w="3175">
      <a:solidFill>
        <a:sysClr val="windowText" lastClr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0.75000000000000955" l="0.70000000000000062" r="0.70000000000000062" t="0.75000000000000955" header="0.30000000000000032" footer="0.30000000000000032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jpeg"/><Relationship Id="rId6" Type="http://schemas.openxmlformats.org/officeDocument/2006/relationships/chart" Target="../charts/chart5.xml"/><Relationship Id="rId5" Type="http://schemas.openxmlformats.org/officeDocument/2006/relationships/chart" Target="../charts/chart4.xml"/><Relationship Id="rId4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image" Target="../media/image2.jpeg"/><Relationship Id="rId5" Type="http://schemas.openxmlformats.org/officeDocument/2006/relationships/chart" Target="../charts/chart9.xml"/><Relationship Id="rId4" Type="http://schemas.openxmlformats.org/officeDocument/2006/relationships/chart" Target="../charts/chart8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152400</xdr:rowOff>
    </xdr:to>
    <xdr:pic>
      <xdr:nvPicPr>
        <xdr:cNvPr id="33822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7925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58872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7</xdr:row>
      <xdr:rowOff>161924</xdr:rowOff>
    </xdr:from>
    <xdr:to>
      <xdr:col>5</xdr:col>
      <xdr:colOff>19812</xdr:colOff>
      <xdr:row>26</xdr:row>
      <xdr:rowOff>2666</xdr:rowOff>
    </xdr:to>
    <xdr:graphicFrame macro="">
      <xdr:nvGraphicFramePr>
        <xdr:cNvPr id="27923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762</xdr:colOff>
      <xdr:row>8</xdr:row>
      <xdr:rowOff>2666</xdr:rowOff>
    </xdr:from>
    <xdr:to>
      <xdr:col>10</xdr:col>
      <xdr:colOff>11049</xdr:colOff>
      <xdr:row>26</xdr:row>
      <xdr:rowOff>5333</xdr:rowOff>
    </xdr:to>
    <xdr:graphicFrame macro="">
      <xdr:nvGraphicFramePr>
        <xdr:cNvPr id="11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8</xdr:row>
      <xdr:rowOff>0</xdr:rowOff>
    </xdr:from>
    <xdr:to>
      <xdr:col>14</xdr:col>
      <xdr:colOff>540444</xdr:colOff>
      <xdr:row>26</xdr:row>
      <xdr:rowOff>2667</xdr:rowOff>
    </xdr:to>
    <xdr:graphicFrame macro="">
      <xdr:nvGraphicFramePr>
        <xdr:cNvPr id="27922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9525</xdr:colOff>
      <xdr:row>25</xdr:row>
      <xdr:rowOff>147759</xdr:rowOff>
    </xdr:from>
    <xdr:to>
      <xdr:col>5</xdr:col>
      <xdr:colOff>19812</xdr:colOff>
      <xdr:row>43</xdr:row>
      <xdr:rowOff>161924</xdr:rowOff>
    </xdr:to>
    <xdr:graphicFrame macro="">
      <xdr:nvGraphicFramePr>
        <xdr:cNvPr id="27924" name="Chart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4</xdr:col>
      <xdr:colOff>540445</xdr:colOff>
      <xdr:row>25</xdr:row>
      <xdr:rowOff>147761</xdr:rowOff>
    </xdr:from>
    <xdr:to>
      <xdr:col>15</xdr:col>
      <xdr:colOff>0</xdr:colOff>
      <xdr:row>44</xdr:row>
      <xdr:rowOff>0</xdr:rowOff>
    </xdr:to>
    <xdr:graphicFrame macro="">
      <xdr:nvGraphicFramePr>
        <xdr:cNvPr id="10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19050</xdr:rowOff>
    </xdr:from>
    <xdr:to>
      <xdr:col>1</xdr:col>
      <xdr:colOff>476250</xdr:colOff>
      <xdr:row>2</xdr:row>
      <xdr:rowOff>114300</xdr:rowOff>
    </xdr:to>
    <xdr:pic>
      <xdr:nvPicPr>
        <xdr:cNvPr id="29826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19050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104775</xdr:rowOff>
    </xdr:to>
    <xdr:pic>
      <xdr:nvPicPr>
        <xdr:cNvPr id="29827" name="Picture 20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069385" cy="454660"/>
        </a:xfrm>
        <a:prstGeom prst="rect">
          <a:avLst/>
        </a:prstGeom>
        <a:noFill/>
        <a:ln w="9525">
          <a:noFill/>
        </a:ln>
      </xdr:spPr>
    </xdr:pic>
    <xdr:clientData/>
  </xdr:twoCellAnchor>
  <xdr:twoCellAnchor>
    <xdr:from>
      <xdr:col>8</xdr:col>
      <xdr:colOff>0</xdr:colOff>
      <xdr:row>8</xdr:row>
      <xdr:rowOff>0</xdr:rowOff>
    </xdr:from>
    <xdr:to>
      <xdr:col>14</xdr:col>
      <xdr:colOff>862742</xdr:colOff>
      <xdr:row>30</xdr:row>
      <xdr:rowOff>159258</xdr:rowOff>
    </xdr:to>
    <xdr:graphicFrame macro="">
      <xdr:nvGraphicFramePr>
        <xdr:cNvPr id="2983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8</xdr:row>
      <xdr:rowOff>0</xdr:rowOff>
    </xdr:from>
    <xdr:to>
      <xdr:col>8</xdr:col>
      <xdr:colOff>0</xdr:colOff>
      <xdr:row>31</xdr:row>
      <xdr:rowOff>0</xdr:rowOff>
    </xdr:to>
    <xdr:graphicFrame macro="">
      <xdr:nvGraphicFramePr>
        <xdr:cNvPr id="2983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31</xdr:row>
      <xdr:rowOff>0</xdr:rowOff>
    </xdr:from>
    <xdr:to>
      <xdr:col>7</xdr:col>
      <xdr:colOff>320802</xdr:colOff>
      <xdr:row>53</xdr:row>
      <xdr:rowOff>159258</xdr:rowOff>
    </xdr:to>
    <xdr:graphicFrame macro="">
      <xdr:nvGraphicFramePr>
        <xdr:cNvPr id="9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3048</xdr:colOff>
      <xdr:row>31</xdr:row>
      <xdr:rowOff>0</xdr:rowOff>
    </xdr:from>
    <xdr:to>
      <xdr:col>15</xdr:col>
      <xdr:colOff>0</xdr:colOff>
      <xdr:row>53</xdr:row>
      <xdr:rowOff>159258</xdr:rowOff>
    </xdr:to>
    <xdr:graphicFrame macro="">
      <xdr:nvGraphicFramePr>
        <xdr:cNvPr id="10" name="Chart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80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870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141"/>
  <sheetViews>
    <sheetView showGridLines="0" tabSelected="1" workbookViewId="0">
      <pane xSplit="2" ySplit="17" topLeftCell="C18" activePane="bottomRight" state="frozen"/>
      <selection activeCell="E35" sqref="E35"/>
      <selection pane="topRight" activeCell="E35" sqref="E35"/>
      <selection pane="bottomLeft" activeCell="E35" sqref="E35"/>
      <selection pane="bottomRight" activeCell="A11" sqref="A11"/>
    </sheetView>
  </sheetViews>
  <sheetFormatPr defaultColWidth="8.85546875" defaultRowHeight="12.75" x14ac:dyDescent="0.2"/>
  <cols>
    <col min="1" max="1" width="8.85546875" style="94"/>
    <col min="2" max="2" width="10.7109375" style="94" customWidth="1"/>
    <col min="3" max="3" width="16.140625" style="94" customWidth="1"/>
    <col min="4" max="4" width="10.5703125" style="94" customWidth="1"/>
    <col min="5" max="5" width="9.5703125" style="94" customWidth="1"/>
    <col min="6" max="6" width="10.7109375" style="94" customWidth="1"/>
    <col min="7" max="14" width="9.5703125" style="94" customWidth="1"/>
    <col min="15" max="15" width="8.85546875" style="94"/>
    <col min="16" max="17" width="10.7109375" style="94" customWidth="1"/>
    <col min="18" max="19" width="8.85546875" style="94"/>
    <col min="20" max="20" width="9.5703125" style="94" bestFit="1" customWidth="1"/>
    <col min="21" max="21" width="8.85546875" style="94"/>
    <col min="22" max="22" width="7.5703125" style="94" customWidth="1"/>
    <col min="23" max="23" width="11.5703125" style="16" bestFit="1" customWidth="1"/>
    <col min="24" max="24" width="13" style="16" customWidth="1"/>
    <col min="25" max="37" width="8.85546875" style="16"/>
    <col min="38" max="38" width="15.85546875" style="16" customWidth="1"/>
    <col min="39" max="16384" width="8.85546875" style="16"/>
  </cols>
  <sheetData>
    <row r="1" spans="1:40" x14ac:dyDescent="0.2">
      <c r="X1" s="100"/>
      <c r="Y1" s="32"/>
      <c r="Z1" s="32"/>
      <c r="AA1" s="51"/>
      <c r="AB1" s="51"/>
    </row>
    <row r="2" spans="1:40" x14ac:dyDescent="0.2">
      <c r="X2" s="89"/>
      <c r="Y2" s="89"/>
      <c r="Z2" s="48"/>
      <c r="AA2" s="48"/>
      <c r="AB2" s="65"/>
      <c r="AC2" s="65"/>
    </row>
    <row r="3" spans="1:40" x14ac:dyDescent="0.2">
      <c r="X3" s="93"/>
      <c r="Y3" s="106"/>
      <c r="Z3" s="131"/>
      <c r="AA3" s="65"/>
      <c r="AB3" s="144"/>
      <c r="AC3" s="144"/>
    </row>
    <row r="4" spans="1:40" x14ac:dyDescent="0.2">
      <c r="X4" s="93"/>
      <c r="Y4" s="106"/>
      <c r="Z4" s="131"/>
      <c r="AA4" s="65"/>
      <c r="AB4" s="144"/>
      <c r="AC4" s="144"/>
      <c r="AL4" s="101"/>
      <c r="AM4" s="101"/>
      <c r="AN4" s="101"/>
    </row>
    <row r="5" spans="1:40" ht="15.75" x14ac:dyDescent="0.25">
      <c r="A5" s="161" t="s">
        <v>11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43"/>
      <c r="O5" s="143"/>
      <c r="P5" s="143"/>
      <c r="Q5" s="143"/>
      <c r="R5" s="143"/>
      <c r="S5" s="143"/>
      <c r="T5" s="110"/>
      <c r="U5" s="22"/>
      <c r="V5" s="22"/>
      <c r="W5" s="106"/>
      <c r="X5" s="93"/>
      <c r="Y5" s="106"/>
      <c r="Z5" s="65"/>
      <c r="AA5" s="30"/>
      <c r="AB5" s="30"/>
      <c r="AC5" s="30"/>
      <c r="AL5" s="101"/>
      <c r="AM5" s="101"/>
      <c r="AN5" s="101"/>
    </row>
    <row r="6" spans="1:40" x14ac:dyDescent="0.2">
      <c r="A6" s="8"/>
      <c r="B6" s="22"/>
      <c r="C6" s="22"/>
      <c r="D6" s="22"/>
      <c r="E6" s="8"/>
      <c r="F6" s="8"/>
      <c r="G6" s="8"/>
      <c r="H6" s="8"/>
      <c r="I6" s="8"/>
      <c r="J6" s="8"/>
      <c r="K6" s="8"/>
      <c r="L6" s="8"/>
      <c r="M6" s="8"/>
      <c r="N6" s="8"/>
      <c r="O6" s="22"/>
      <c r="P6" s="22"/>
      <c r="Q6" s="22"/>
      <c r="R6" s="8"/>
      <c r="S6" s="22"/>
      <c r="T6" s="22"/>
      <c r="U6" s="22"/>
      <c r="V6" s="22"/>
      <c r="W6" s="106"/>
      <c r="X6" s="93"/>
      <c r="Y6" s="106"/>
      <c r="Z6" s="65"/>
      <c r="AA6" s="88"/>
      <c r="AB6" s="131"/>
      <c r="AC6" s="131"/>
      <c r="AL6" s="101"/>
      <c r="AM6" s="101"/>
      <c r="AN6" s="101"/>
    </row>
    <row r="7" spans="1:40" ht="12.4" customHeight="1" x14ac:dyDescent="0.2">
      <c r="A7" s="119" t="str">
        <f>Table!A7</f>
        <v>NordAq Energy Inc.</v>
      </c>
      <c r="B7" s="8"/>
      <c r="C7" s="8"/>
      <c r="D7" s="8"/>
      <c r="E7" s="22"/>
      <c r="F7" s="22"/>
      <c r="G7" s="22"/>
      <c r="H7" s="22"/>
      <c r="I7" s="94" t="str">
        <f>Table!L7</f>
        <v>Sample Number:</v>
      </c>
      <c r="M7" s="25" t="str">
        <f>Table!P7</f>
        <v>1</v>
      </c>
      <c r="N7" s="22"/>
      <c r="O7" s="119"/>
      <c r="P7" s="39"/>
      <c r="Q7" s="89"/>
      <c r="R7" s="89"/>
      <c r="S7" s="48"/>
      <c r="T7" s="88"/>
      <c r="U7" s="91"/>
      <c r="V7" s="131"/>
      <c r="AE7" s="57"/>
      <c r="AF7" s="157"/>
      <c r="AG7" s="157"/>
    </row>
    <row r="8" spans="1:40" ht="12.4" customHeight="1" x14ac:dyDescent="0.2">
      <c r="A8" s="119" t="str">
        <f>Table!A8</f>
        <v>East Simpson No. 2 (USGS/Husky 1980)</v>
      </c>
      <c r="B8" s="8"/>
      <c r="C8" s="8"/>
      <c r="D8" s="8"/>
      <c r="E8" s="8"/>
      <c r="F8" s="8"/>
      <c r="G8" s="8"/>
      <c r="H8" s="8"/>
      <c r="I8" s="94" t="str">
        <f>Table!L8</f>
        <v>Sample Depth, m:</v>
      </c>
      <c r="M8" s="40">
        <f>Table!P8</f>
        <v>6061.5</v>
      </c>
      <c r="N8" s="22"/>
      <c r="O8" s="119"/>
      <c r="P8" s="39"/>
      <c r="Q8" s="89"/>
      <c r="R8" s="89"/>
      <c r="S8" s="48"/>
      <c r="T8" s="88"/>
      <c r="U8" s="91"/>
      <c r="V8" s="131"/>
      <c r="AE8" s="98"/>
      <c r="AF8" s="157"/>
      <c r="AG8" s="157"/>
    </row>
    <row r="9" spans="1:40" ht="12.4" customHeight="1" x14ac:dyDescent="0.2">
      <c r="A9" s="119" t="str">
        <f>Table!A9</f>
        <v>Torok Sandstones Formation</v>
      </c>
      <c r="B9" s="8"/>
      <c r="C9" s="8"/>
      <c r="D9" s="8"/>
      <c r="E9" s="8"/>
      <c r="F9" s="8"/>
      <c r="G9" s="8"/>
      <c r="H9" s="8"/>
      <c r="I9" s="11" t="str">
        <f>Table!L9</f>
        <v>Permeability to Air (calc), mD:</v>
      </c>
      <c r="K9" s="8"/>
      <c r="L9" s="8"/>
      <c r="M9" s="56">
        <f>Table!P9</f>
        <v>0.82053953772495258</v>
      </c>
      <c r="N9" s="22"/>
      <c r="O9" s="119" t="s">
        <v>39</v>
      </c>
      <c r="P9" s="39"/>
      <c r="Q9" s="106"/>
      <c r="R9" s="89"/>
      <c r="S9" s="89"/>
      <c r="T9" s="2"/>
      <c r="U9" s="2"/>
      <c r="V9" s="78"/>
      <c r="AE9" s="98"/>
      <c r="AF9" s="157"/>
      <c r="AG9" s="157"/>
    </row>
    <row r="10" spans="1:40" ht="12.4" customHeight="1" x14ac:dyDescent="0.2">
      <c r="A10" s="119" t="str">
        <f>Table!A10</f>
        <v>HH-61176</v>
      </c>
      <c r="B10" s="8"/>
      <c r="C10" s="8"/>
      <c r="D10" s="8"/>
      <c r="E10" s="22"/>
      <c r="F10" s="22"/>
      <c r="G10" s="22"/>
      <c r="H10" s="22"/>
      <c r="I10" s="11" t="str">
        <f>Table!L10</f>
        <v>Porosity, fraction:</v>
      </c>
      <c r="K10" s="8"/>
      <c r="L10" s="8"/>
      <c r="M10" s="56">
        <f>K30</f>
        <v>0.12827040818845631</v>
      </c>
      <c r="N10" s="22"/>
      <c r="O10" s="59" t="s">
        <v>39</v>
      </c>
      <c r="P10" s="150"/>
      <c r="Q10" s="106"/>
      <c r="R10" s="89"/>
      <c r="S10" s="89"/>
      <c r="T10" s="2"/>
      <c r="U10" s="48"/>
      <c r="V10" s="78"/>
      <c r="AE10" s="98"/>
      <c r="AF10" s="157"/>
      <c r="AG10" s="157"/>
    </row>
    <row r="11" spans="1:40" ht="12.4" customHeight="1" x14ac:dyDescent="0.2">
      <c r="A11" s="85"/>
      <c r="B11" s="8"/>
      <c r="C11" s="8"/>
      <c r="D11" s="8"/>
      <c r="E11" s="22"/>
      <c r="F11" s="22"/>
      <c r="G11" s="22"/>
      <c r="H11" s="8"/>
      <c r="I11" s="94" t="str">
        <f>Table!L11</f>
        <v>Grain Density, grams/cc:</v>
      </c>
      <c r="M11" s="135">
        <f>L30</f>
        <v>2.6700868871346555</v>
      </c>
      <c r="N11" s="22"/>
      <c r="O11" s="59" t="s">
        <v>39</v>
      </c>
      <c r="P11" s="150"/>
      <c r="Q11" s="89"/>
      <c r="R11" s="100"/>
      <c r="S11" s="32"/>
      <c r="T11" s="32"/>
      <c r="U11" s="55"/>
      <c r="V11" s="16"/>
      <c r="AE11" s="98"/>
      <c r="AF11" s="157"/>
      <c r="AG11" s="157"/>
    </row>
    <row r="12" spans="1:40" ht="12.4" customHeight="1" x14ac:dyDescent="0.2">
      <c r="A12" s="119"/>
      <c r="B12" s="8"/>
      <c r="C12" s="8"/>
      <c r="D12" s="8"/>
      <c r="E12" s="8"/>
      <c r="F12" s="8"/>
      <c r="G12" s="8"/>
      <c r="H12" s="8"/>
      <c r="I12" s="8"/>
      <c r="J12" s="11"/>
      <c r="K12" s="8"/>
      <c r="L12" s="8"/>
      <c r="M12" s="56"/>
      <c r="N12" s="22"/>
      <c r="O12" s="149"/>
      <c r="P12" s="65"/>
      <c r="Q12" s="89"/>
      <c r="R12" s="106"/>
      <c r="S12" s="89"/>
      <c r="T12" s="86"/>
      <c r="U12" s="106"/>
      <c r="V12" s="16"/>
      <c r="AE12" s="157"/>
      <c r="AF12" s="157"/>
      <c r="AG12" s="157"/>
    </row>
    <row r="13" spans="1:40" ht="12.4" customHeight="1" x14ac:dyDescent="0.2">
      <c r="A13" s="47"/>
      <c r="B13" s="47" t="s">
        <v>58</v>
      </c>
      <c r="C13" s="47" t="s">
        <v>57</v>
      </c>
      <c r="D13" s="47" t="s">
        <v>58</v>
      </c>
      <c r="E13" s="47" t="s">
        <v>57</v>
      </c>
      <c r="F13" s="47" t="s">
        <v>91</v>
      </c>
      <c r="G13" s="92"/>
      <c r="H13" s="92"/>
      <c r="N13" s="22"/>
      <c r="O13" s="149"/>
      <c r="P13" s="65"/>
      <c r="Q13" s="89"/>
      <c r="R13" s="89"/>
      <c r="S13" s="89"/>
      <c r="T13" s="86"/>
      <c r="U13" s="89"/>
      <c r="V13" s="16"/>
      <c r="AE13" s="157"/>
      <c r="AF13" s="157"/>
      <c r="AG13" s="157"/>
    </row>
    <row r="14" spans="1:40" ht="12.4" customHeight="1" x14ac:dyDescent="0.2">
      <c r="A14" s="70" t="s">
        <v>85</v>
      </c>
      <c r="B14" s="70" t="s">
        <v>63</v>
      </c>
      <c r="C14" s="70" t="s">
        <v>63</v>
      </c>
      <c r="D14" s="70" t="s">
        <v>63</v>
      </c>
      <c r="E14" s="70" t="s">
        <v>63</v>
      </c>
      <c r="F14" s="70" t="s">
        <v>50</v>
      </c>
      <c r="G14" s="92"/>
      <c r="H14" s="92"/>
      <c r="I14" s="82"/>
      <c r="J14" s="82"/>
      <c r="K14" s="82"/>
      <c r="L14" s="82"/>
      <c r="M14" s="82"/>
      <c r="N14" s="22"/>
      <c r="O14" s="149"/>
      <c r="P14" s="65"/>
      <c r="Q14" s="89"/>
      <c r="R14" s="89"/>
      <c r="S14" s="89"/>
      <c r="T14" s="86"/>
      <c r="U14" s="89"/>
      <c r="V14" s="16"/>
      <c r="AE14" s="157"/>
      <c r="AF14" s="157"/>
      <c r="AG14" s="157"/>
    </row>
    <row r="15" spans="1:40" ht="12.4" customHeight="1" x14ac:dyDescent="0.2">
      <c r="A15" s="70" t="s">
        <v>78</v>
      </c>
      <c r="B15" s="70" t="s">
        <v>3</v>
      </c>
      <c r="C15" s="70" t="s">
        <v>3</v>
      </c>
      <c r="D15" s="70" t="s">
        <v>5</v>
      </c>
      <c r="E15" s="70" t="s">
        <v>5</v>
      </c>
      <c r="F15" s="70" t="s">
        <v>5</v>
      </c>
      <c r="G15" s="92"/>
      <c r="H15" s="92"/>
      <c r="I15" s="92"/>
      <c r="J15" s="92"/>
      <c r="K15" s="92"/>
      <c r="L15" s="82"/>
      <c r="M15" s="82"/>
      <c r="N15" s="8"/>
      <c r="O15" s="149"/>
      <c r="P15" s="65"/>
      <c r="Q15" s="89"/>
      <c r="R15" s="89"/>
      <c r="S15" s="89"/>
      <c r="T15" s="86"/>
      <c r="U15" s="89"/>
      <c r="V15" s="16"/>
      <c r="AE15" s="157"/>
      <c r="AF15" s="157"/>
      <c r="AG15" s="157"/>
    </row>
    <row r="16" spans="1:40" ht="12.4" customHeight="1" x14ac:dyDescent="0.2">
      <c r="A16" s="97" t="s">
        <v>49</v>
      </c>
      <c r="B16" s="97" t="s">
        <v>36</v>
      </c>
      <c r="C16" s="97" t="s">
        <v>36</v>
      </c>
      <c r="D16" s="97" t="s">
        <v>26</v>
      </c>
      <c r="E16" s="97" t="s">
        <v>26</v>
      </c>
      <c r="F16" s="97" t="s">
        <v>26</v>
      </c>
      <c r="G16" s="92"/>
      <c r="H16" s="92"/>
      <c r="I16" s="92"/>
      <c r="J16" s="92"/>
      <c r="K16" s="92"/>
      <c r="L16" s="92"/>
      <c r="M16" s="92"/>
      <c r="N16" s="8"/>
      <c r="O16" s="65"/>
      <c r="P16" s="65"/>
      <c r="Q16" s="106"/>
      <c r="R16" s="16"/>
      <c r="S16" s="16"/>
      <c r="T16" s="16"/>
      <c r="U16" s="16"/>
      <c r="V16" s="16"/>
      <c r="AE16" s="157"/>
      <c r="AF16" s="157"/>
      <c r="AG16" s="157"/>
    </row>
    <row r="17" spans="1:35" ht="12.4" customHeight="1" x14ac:dyDescent="0.2">
      <c r="A17" s="22"/>
      <c r="B17" s="22"/>
      <c r="E17" s="22"/>
      <c r="F17" s="22"/>
      <c r="G17" s="22"/>
      <c r="H17" s="22"/>
      <c r="I17" s="22"/>
      <c r="J17" s="22"/>
      <c r="K17" s="22"/>
      <c r="L17" s="22"/>
      <c r="M17" s="22"/>
      <c r="N17" s="8"/>
      <c r="O17" s="65"/>
      <c r="P17" s="65"/>
      <c r="Q17" s="93"/>
      <c r="R17" s="106"/>
      <c r="S17" s="106"/>
      <c r="T17" s="140"/>
      <c r="U17" s="16"/>
      <c r="V17" s="16"/>
      <c r="AE17" s="157"/>
      <c r="AF17" s="157"/>
      <c r="AG17" s="157"/>
    </row>
    <row r="18" spans="1:35" ht="12.4" customHeight="1" x14ac:dyDescent="0.2">
      <c r="A18" s="63">
        <v>1.5251665115356445</v>
      </c>
      <c r="B18" s="84">
        <v>0</v>
      </c>
      <c r="C18" s="3">
        <f t="shared" ref="C18:C136" si="0">IF(B18-I$34&lt;0,0,B18-I$34)</f>
        <v>0</v>
      </c>
      <c r="D18" s="3">
        <f t="shared" ref="D18:D136" si="1">B18/$B$136</f>
        <v>0</v>
      </c>
      <c r="E18" s="3">
        <f t="shared" ref="E18:E136" si="2">C18/$H$30</f>
        <v>0</v>
      </c>
      <c r="F18" s="3">
        <f t="shared" ref="F18:F136" si="3">E18-E17</f>
        <v>0</v>
      </c>
      <c r="G18" s="3"/>
      <c r="H18" s="67" t="s">
        <v>19</v>
      </c>
      <c r="I18" s="31"/>
      <c r="J18" s="31"/>
      <c r="K18" s="31"/>
      <c r="L18" s="31"/>
      <c r="M18" s="102"/>
      <c r="O18" s="63"/>
      <c r="P18" s="65"/>
      <c r="Q18" s="37"/>
      <c r="R18" s="127"/>
      <c r="S18" s="96"/>
      <c r="T18" s="136"/>
      <c r="U18" s="136"/>
      <c r="V18" s="136"/>
      <c r="W18" s="152"/>
      <c r="X18" s="37"/>
      <c r="AG18" s="157"/>
      <c r="AH18" s="157"/>
      <c r="AI18" s="157"/>
    </row>
    <row r="19" spans="1:35" ht="12.4" customHeight="1" x14ac:dyDescent="0.2">
      <c r="A19" s="63">
        <v>1.6010434627532959</v>
      </c>
      <c r="B19" s="84">
        <v>2.0301876280838928E-3</v>
      </c>
      <c r="C19" s="3">
        <f t="shared" si="0"/>
        <v>0</v>
      </c>
      <c r="D19" s="3">
        <f t="shared" si="1"/>
        <v>1.3868085918764829E-3</v>
      </c>
      <c r="E19" s="3">
        <f t="shared" si="2"/>
        <v>0</v>
      </c>
      <c r="F19" s="3">
        <f t="shared" si="3"/>
        <v>0</v>
      </c>
      <c r="G19" s="3"/>
      <c r="H19" s="47" t="s">
        <v>89</v>
      </c>
      <c r="I19" s="47" t="s">
        <v>2</v>
      </c>
      <c r="J19" s="47" t="s">
        <v>84</v>
      </c>
      <c r="K19" s="47"/>
      <c r="L19" s="47" t="s">
        <v>84</v>
      </c>
      <c r="M19" s="47" t="s">
        <v>15</v>
      </c>
      <c r="O19" s="63"/>
      <c r="P19" s="65"/>
      <c r="Q19" s="37"/>
      <c r="R19" s="127"/>
      <c r="S19" s="92"/>
      <c r="T19" s="92"/>
      <c r="U19" s="92"/>
      <c r="V19" s="92"/>
      <c r="W19" s="152"/>
      <c r="X19" s="37"/>
      <c r="AG19" s="157"/>
      <c r="AH19" s="157"/>
      <c r="AI19" s="157"/>
    </row>
    <row r="20" spans="1:35" ht="12.4" customHeight="1" x14ac:dyDescent="0.2">
      <c r="A20" s="63">
        <v>1.822029709815979</v>
      </c>
      <c r="B20" s="84">
        <v>3.9373336890381272E-3</v>
      </c>
      <c r="C20" s="3">
        <f t="shared" si="0"/>
        <v>0</v>
      </c>
      <c r="D20" s="3">
        <f t="shared" si="1"/>
        <v>2.6895682514804331E-3</v>
      </c>
      <c r="E20" s="3">
        <f t="shared" si="2"/>
        <v>0</v>
      </c>
      <c r="F20" s="3">
        <f t="shared" si="3"/>
        <v>0</v>
      </c>
      <c r="G20" s="3"/>
      <c r="H20" s="70" t="s">
        <v>3</v>
      </c>
      <c r="I20" s="70" t="s">
        <v>3</v>
      </c>
      <c r="J20" s="70" t="s">
        <v>3</v>
      </c>
      <c r="K20" s="70" t="s">
        <v>62</v>
      </c>
      <c r="L20" s="70" t="s">
        <v>40</v>
      </c>
      <c r="M20" s="70" t="s">
        <v>9</v>
      </c>
      <c r="O20" s="63"/>
      <c r="P20" s="65"/>
      <c r="Q20" s="37"/>
      <c r="R20" s="127"/>
      <c r="S20" s="92"/>
      <c r="T20" s="92"/>
      <c r="U20" s="92"/>
      <c r="V20" s="92"/>
      <c r="W20" s="152"/>
      <c r="X20" s="37"/>
      <c r="AG20" s="157"/>
      <c r="AH20" s="157"/>
      <c r="AI20" s="157"/>
    </row>
    <row r="21" spans="1:35" ht="12.4" customHeight="1" x14ac:dyDescent="0.2">
      <c r="A21" s="63">
        <v>2.0197198390960693</v>
      </c>
      <c r="B21" s="84">
        <v>1.1073750090607961E-2</v>
      </c>
      <c r="C21" s="3">
        <f t="shared" si="0"/>
        <v>0</v>
      </c>
      <c r="D21" s="3">
        <f t="shared" si="1"/>
        <v>7.564410085801933E-3</v>
      </c>
      <c r="E21" s="3">
        <f t="shared" si="2"/>
        <v>0</v>
      </c>
      <c r="F21" s="3">
        <f t="shared" si="3"/>
        <v>0</v>
      </c>
      <c r="G21" s="3"/>
      <c r="H21" s="97" t="s">
        <v>36</v>
      </c>
      <c r="I21" s="97" t="s">
        <v>36</v>
      </c>
      <c r="J21" s="97" t="s">
        <v>36</v>
      </c>
      <c r="K21" s="97" t="s">
        <v>26</v>
      </c>
      <c r="L21" s="97" t="s">
        <v>27</v>
      </c>
      <c r="M21" s="97" t="s">
        <v>18</v>
      </c>
      <c r="O21" s="63"/>
      <c r="P21" s="65"/>
      <c r="Q21" s="37"/>
      <c r="R21" s="127"/>
      <c r="S21" s="92"/>
      <c r="T21" s="92"/>
      <c r="U21" s="92"/>
      <c r="V21" s="92"/>
      <c r="W21" s="152"/>
      <c r="X21" s="37"/>
      <c r="AG21" s="71"/>
      <c r="AH21" s="157"/>
      <c r="AI21" s="157"/>
    </row>
    <row r="22" spans="1:35" ht="12.4" customHeight="1" x14ac:dyDescent="0.2">
      <c r="A22" s="63">
        <v>2.1800045967102051</v>
      </c>
      <c r="B22" s="84">
        <v>1.7594959836825855E-2</v>
      </c>
      <c r="C22" s="3">
        <f t="shared" si="0"/>
        <v>0</v>
      </c>
      <c r="D22" s="3">
        <f t="shared" si="1"/>
        <v>1.2019008065013895E-2</v>
      </c>
      <c r="E22" s="3">
        <f t="shared" si="2"/>
        <v>0</v>
      </c>
      <c r="F22" s="3">
        <f t="shared" si="3"/>
        <v>0</v>
      </c>
      <c r="G22" s="3"/>
      <c r="H22" s="24"/>
      <c r="I22" s="63"/>
      <c r="J22" s="63"/>
      <c r="K22" s="63"/>
      <c r="L22" s="63"/>
      <c r="M22" s="63"/>
      <c r="O22" s="63"/>
      <c r="P22" s="65"/>
      <c r="Q22" s="37"/>
      <c r="R22" s="127"/>
      <c r="S22" s="108"/>
      <c r="T22" s="152"/>
      <c r="U22" s="152"/>
      <c r="V22" s="152"/>
      <c r="W22" s="152"/>
      <c r="X22" s="37"/>
      <c r="AG22" s="71"/>
      <c r="AH22" s="157"/>
      <c r="AI22" s="157"/>
    </row>
    <row r="23" spans="1:35" ht="12.4" customHeight="1" x14ac:dyDescent="0.2">
      <c r="A23" s="63">
        <v>2.3738393783569336</v>
      </c>
      <c r="B23" s="84">
        <v>2.4177689383028285E-2</v>
      </c>
      <c r="C23" s="3">
        <f t="shared" si="0"/>
        <v>0</v>
      </c>
      <c r="D23" s="3">
        <f t="shared" si="1"/>
        <v>1.6515629838484518E-2</v>
      </c>
      <c r="E23" s="3">
        <f t="shared" si="2"/>
        <v>0</v>
      </c>
      <c r="F23" s="3">
        <f t="shared" si="3"/>
        <v>0</v>
      </c>
      <c r="G23" s="3"/>
      <c r="H23" s="60">
        <f>I23-J23</f>
        <v>1.4800000000000004</v>
      </c>
      <c r="I23" s="60">
        <v>11.05</v>
      </c>
      <c r="J23" s="60">
        <v>9.57</v>
      </c>
      <c r="K23" s="151">
        <f>H23/I23</f>
        <v>0.13393665158371043</v>
      </c>
      <c r="L23" s="60">
        <f>M23/J23</f>
        <v>2.6703239289446183</v>
      </c>
      <c r="M23" s="60">
        <v>25.555</v>
      </c>
      <c r="O23" s="10"/>
      <c r="P23" s="65"/>
      <c r="Q23" s="37"/>
      <c r="R23" s="127"/>
      <c r="S23" s="9"/>
      <c r="T23" s="9"/>
      <c r="U23" s="9"/>
      <c r="V23" s="9"/>
      <c r="W23" s="152"/>
      <c r="X23" s="37"/>
      <c r="AG23" s="71"/>
      <c r="AH23" s="157"/>
      <c r="AI23" s="157"/>
    </row>
    <row r="24" spans="1:35" ht="12.4" customHeight="1" x14ac:dyDescent="0.2">
      <c r="A24" s="63">
        <v>2.593677282333374</v>
      </c>
      <c r="B24" s="84">
        <v>2.9591521877622311E-2</v>
      </c>
      <c r="C24" s="3">
        <f t="shared" si="0"/>
        <v>0</v>
      </c>
      <c r="D24" s="3">
        <f t="shared" si="1"/>
        <v>2.0213785277235344E-2</v>
      </c>
      <c r="E24" s="3">
        <f t="shared" si="2"/>
        <v>0</v>
      </c>
      <c r="F24" s="3">
        <f t="shared" si="3"/>
        <v>0</v>
      </c>
      <c r="G24" s="3"/>
      <c r="O24" s="63"/>
      <c r="P24" s="65"/>
      <c r="Q24" s="37"/>
      <c r="R24" s="127"/>
      <c r="S24" s="16"/>
      <c r="T24" s="16"/>
      <c r="U24" s="16"/>
      <c r="V24" s="16"/>
      <c r="W24" s="152"/>
      <c r="X24" s="37"/>
      <c r="AG24" s="71"/>
      <c r="AH24" s="157"/>
      <c r="AI24" s="157"/>
    </row>
    <row r="25" spans="1:35" ht="12.4" customHeight="1" x14ac:dyDescent="0.2">
      <c r="A25" s="63">
        <v>2.8300850391387939</v>
      </c>
      <c r="B25" s="84">
        <v>3.5066875352497223E-2</v>
      </c>
      <c r="C25" s="3">
        <f t="shared" si="0"/>
        <v>0</v>
      </c>
      <c r="D25" s="3">
        <f t="shared" si="1"/>
        <v>2.3953965316497957E-2</v>
      </c>
      <c r="E25" s="3">
        <f t="shared" si="2"/>
        <v>0</v>
      </c>
      <c r="F25" s="3">
        <f t="shared" si="3"/>
        <v>0</v>
      </c>
      <c r="G25" s="3"/>
      <c r="H25" s="67" t="s">
        <v>77</v>
      </c>
      <c r="I25" s="31"/>
      <c r="J25" s="31"/>
      <c r="K25" s="31"/>
      <c r="L25" s="31"/>
      <c r="M25" s="102"/>
      <c r="O25" s="63"/>
      <c r="P25" s="65"/>
      <c r="Q25" s="37"/>
      <c r="R25" s="127"/>
      <c r="S25" s="96"/>
      <c r="T25" s="136"/>
      <c r="U25" s="136"/>
      <c r="V25" s="136"/>
      <c r="W25" s="152"/>
      <c r="X25" s="37"/>
      <c r="AG25" s="133"/>
      <c r="AH25" s="157"/>
      <c r="AI25" s="157"/>
    </row>
    <row r="26" spans="1:35" ht="12.4" customHeight="1" x14ac:dyDescent="0.2">
      <c r="A26" s="63">
        <v>3.0941364765167236</v>
      </c>
      <c r="B26" s="84">
        <v>3.9311813156075556E-2</v>
      </c>
      <c r="C26" s="3">
        <f t="shared" si="0"/>
        <v>0</v>
      </c>
      <c r="D26" s="3">
        <f t="shared" si="1"/>
        <v>2.6853656033035245E-2</v>
      </c>
      <c r="E26" s="3">
        <f t="shared" si="2"/>
        <v>0</v>
      </c>
      <c r="F26" s="3">
        <f t="shared" si="3"/>
        <v>0</v>
      </c>
      <c r="G26" s="3"/>
      <c r="H26" s="47" t="s">
        <v>89</v>
      </c>
      <c r="I26" s="47" t="s">
        <v>2</v>
      </c>
      <c r="J26" s="47" t="s">
        <v>84</v>
      </c>
      <c r="K26" s="47"/>
      <c r="L26" s="47" t="s">
        <v>84</v>
      </c>
      <c r="M26" s="47" t="s">
        <v>15</v>
      </c>
      <c r="O26" s="63"/>
      <c r="P26" s="65"/>
      <c r="Q26" s="37"/>
      <c r="R26" s="127"/>
      <c r="S26" s="92"/>
      <c r="T26" s="92"/>
      <c r="U26" s="92"/>
      <c r="V26" s="92"/>
      <c r="W26" s="152"/>
      <c r="X26" s="37"/>
      <c r="AG26" s="133"/>
      <c r="AH26" s="157"/>
      <c r="AI26" s="157"/>
    </row>
    <row r="27" spans="1:35" ht="12.4" customHeight="1" x14ac:dyDescent="0.2">
      <c r="A27" s="63">
        <v>3.3660628795623779</v>
      </c>
      <c r="B27" s="84">
        <v>4.226481509494065E-2</v>
      </c>
      <c r="C27" s="3">
        <f t="shared" si="0"/>
        <v>0</v>
      </c>
      <c r="D27" s="3">
        <f t="shared" si="1"/>
        <v>2.8870833363837497E-2</v>
      </c>
      <c r="E27" s="3">
        <f t="shared" si="2"/>
        <v>0</v>
      </c>
      <c r="F27" s="3">
        <f t="shared" si="3"/>
        <v>0</v>
      </c>
      <c r="G27" s="3"/>
      <c r="H27" s="70" t="s">
        <v>3</v>
      </c>
      <c r="I27" s="70" t="s">
        <v>3</v>
      </c>
      <c r="J27" s="70" t="s">
        <v>3</v>
      </c>
      <c r="K27" s="70" t="s">
        <v>62</v>
      </c>
      <c r="L27" s="70" t="s">
        <v>40</v>
      </c>
      <c r="M27" s="70" t="s">
        <v>9</v>
      </c>
      <c r="O27" s="63"/>
      <c r="P27" s="65"/>
      <c r="Q27" s="37"/>
      <c r="R27" s="127"/>
      <c r="S27" s="92"/>
      <c r="T27" s="92"/>
      <c r="U27" s="92"/>
      <c r="V27" s="92"/>
      <c r="W27" s="152"/>
      <c r="X27" s="37"/>
      <c r="AG27" s="133"/>
      <c r="AH27" s="157"/>
      <c r="AI27" s="157"/>
    </row>
    <row r="28" spans="1:35" ht="12.4" customHeight="1" x14ac:dyDescent="0.2">
      <c r="A28" s="63">
        <v>3.7039406299591064</v>
      </c>
      <c r="B28" s="84">
        <v>4.4725649584990763E-2</v>
      </c>
      <c r="C28" s="3">
        <f t="shared" si="0"/>
        <v>0</v>
      </c>
      <c r="D28" s="3">
        <f t="shared" si="1"/>
        <v>3.0551814159296496E-2</v>
      </c>
      <c r="E28" s="3">
        <f t="shared" si="2"/>
        <v>0</v>
      </c>
      <c r="F28" s="3">
        <f t="shared" si="3"/>
        <v>0</v>
      </c>
      <c r="G28" s="3"/>
      <c r="H28" s="97" t="s">
        <v>36</v>
      </c>
      <c r="I28" s="97" t="s">
        <v>36</v>
      </c>
      <c r="J28" s="97" t="s">
        <v>36</v>
      </c>
      <c r="K28" s="97" t="s">
        <v>26</v>
      </c>
      <c r="L28" s="97" t="s">
        <v>27</v>
      </c>
      <c r="M28" s="97" t="s">
        <v>18</v>
      </c>
      <c r="O28" s="63"/>
      <c r="P28" s="65"/>
      <c r="Q28" s="37"/>
      <c r="R28" s="127"/>
      <c r="S28" s="92"/>
      <c r="T28" s="92"/>
      <c r="U28" s="92"/>
      <c r="V28" s="92"/>
      <c r="W28" s="152"/>
      <c r="X28" s="37"/>
      <c r="AG28" s="133"/>
      <c r="AH28" s="157"/>
      <c r="AI28" s="157"/>
    </row>
    <row r="29" spans="1:35" ht="12.4" customHeight="1" x14ac:dyDescent="0.2">
      <c r="A29" s="63">
        <v>4.0441150665283203</v>
      </c>
      <c r="B29" s="84">
        <v>4.6140631836377101E-2</v>
      </c>
      <c r="C29" s="3">
        <f t="shared" si="0"/>
        <v>0</v>
      </c>
      <c r="D29" s="3">
        <f t="shared" si="1"/>
        <v>3.1518379769504327E-2</v>
      </c>
      <c r="E29" s="3">
        <f t="shared" si="2"/>
        <v>0</v>
      </c>
      <c r="F29" s="3">
        <f t="shared" si="3"/>
        <v>0</v>
      </c>
      <c r="G29" s="3"/>
      <c r="H29" s="24"/>
      <c r="I29" s="63"/>
      <c r="J29" s="63"/>
      <c r="K29" s="63"/>
      <c r="L29" s="63"/>
      <c r="M29" s="63"/>
      <c r="O29" s="63"/>
      <c r="P29" s="65"/>
      <c r="Q29" s="37"/>
      <c r="R29" s="127"/>
      <c r="S29" s="108"/>
      <c r="T29" s="152"/>
      <c r="U29" s="152"/>
      <c r="V29" s="152"/>
      <c r="W29" s="152"/>
      <c r="X29" s="37"/>
      <c r="AG29" s="26"/>
      <c r="AH29" s="157"/>
      <c r="AI29" s="157"/>
    </row>
    <row r="30" spans="1:35" ht="12.4" customHeight="1" x14ac:dyDescent="0.2">
      <c r="A30" s="63">
        <v>4.420710563659668</v>
      </c>
      <c r="B30" s="84">
        <v>4.7063443294775451E-2</v>
      </c>
      <c r="C30" s="3">
        <f t="shared" si="0"/>
        <v>0</v>
      </c>
      <c r="D30" s="3">
        <f t="shared" si="1"/>
        <v>3.2148746559985043E-2</v>
      </c>
      <c r="E30" s="3">
        <f t="shared" si="2"/>
        <v>0</v>
      </c>
      <c r="F30" s="3">
        <f t="shared" si="3"/>
        <v>0</v>
      </c>
      <c r="G30" s="3"/>
      <c r="H30" s="60">
        <f>C136</f>
        <v>1.4083000000000001</v>
      </c>
      <c r="I30" s="60">
        <v>10.979149594120805</v>
      </c>
      <c r="J30" s="60">
        <f>I30-H30</f>
        <v>9.5708495941208049</v>
      </c>
      <c r="K30" s="151">
        <f>H30/I30</f>
        <v>0.12827040818845631</v>
      </c>
      <c r="L30" s="60">
        <f>M30/J30</f>
        <v>2.6700868871346555</v>
      </c>
      <c r="M30" s="60">
        <f>M23</f>
        <v>25.555</v>
      </c>
      <c r="N30" s="74"/>
      <c r="O30" s="3"/>
      <c r="P30" s="65"/>
      <c r="Q30" s="16"/>
      <c r="R30" s="127"/>
      <c r="S30" s="9"/>
      <c r="T30" s="9"/>
      <c r="U30" s="9"/>
      <c r="V30" s="9"/>
      <c r="W30" s="158"/>
      <c r="X30" s="81"/>
    </row>
    <row r="31" spans="1:35" ht="12.4" customHeight="1" x14ac:dyDescent="0.2">
      <c r="A31" s="63">
        <v>4.835777759552002</v>
      </c>
      <c r="B31" s="84">
        <v>4.7863210874630455E-2</v>
      </c>
      <c r="C31" s="3">
        <f t="shared" si="0"/>
        <v>0</v>
      </c>
      <c r="D31" s="3">
        <f t="shared" si="1"/>
        <v>3.2695062839280857E-2</v>
      </c>
      <c r="E31" s="3">
        <f t="shared" si="2"/>
        <v>0</v>
      </c>
      <c r="F31" s="3">
        <f t="shared" si="3"/>
        <v>0</v>
      </c>
      <c r="G31" s="3"/>
      <c r="H31" s="24"/>
      <c r="I31" s="63"/>
      <c r="J31" s="63"/>
      <c r="K31" s="63"/>
      <c r="L31" s="63"/>
      <c r="M31" s="115"/>
      <c r="O31" s="42"/>
      <c r="P31" s="65"/>
      <c r="Q31" s="9"/>
      <c r="R31" s="16"/>
      <c r="S31" s="16"/>
      <c r="T31" s="16"/>
      <c r="U31" s="16"/>
      <c r="V31" s="16"/>
    </row>
    <row r="32" spans="1:35" ht="12.4" customHeight="1" x14ac:dyDescent="0.2">
      <c r="A32" s="63">
        <v>5.2756175994873047</v>
      </c>
      <c r="B32" s="84">
        <v>4.8478417972593522E-2</v>
      </c>
      <c r="C32" s="3">
        <f t="shared" si="0"/>
        <v>0</v>
      </c>
      <c r="D32" s="3">
        <f t="shared" si="1"/>
        <v>3.3115306996735316E-2</v>
      </c>
      <c r="E32" s="3">
        <f t="shared" si="2"/>
        <v>0</v>
      </c>
      <c r="F32" s="3">
        <f t="shared" si="3"/>
        <v>0</v>
      </c>
      <c r="G32" s="3"/>
      <c r="I32" s="162" t="s">
        <v>37</v>
      </c>
      <c r="J32" s="163"/>
      <c r="K32" s="162" t="s">
        <v>65</v>
      </c>
      <c r="L32" s="163"/>
      <c r="M32" s="108"/>
      <c r="N32" s="115"/>
      <c r="O32" s="42"/>
      <c r="P32" s="65"/>
      <c r="Q32" s="9"/>
      <c r="R32" s="16"/>
      <c r="S32" s="16"/>
      <c r="T32" s="16"/>
      <c r="U32" s="16"/>
      <c r="V32" s="16"/>
    </row>
    <row r="33" spans="1:22" ht="12.4" customHeight="1" x14ac:dyDescent="0.2">
      <c r="A33" s="63">
        <v>5.7682843208312988</v>
      </c>
      <c r="B33" s="84">
        <v>4.860146087985133E-2</v>
      </c>
      <c r="C33" s="3">
        <f t="shared" si="0"/>
        <v>0</v>
      </c>
      <c r="D33" s="3">
        <f t="shared" si="1"/>
        <v>3.3199356844441086E-2</v>
      </c>
      <c r="E33" s="3">
        <f t="shared" si="2"/>
        <v>0</v>
      </c>
      <c r="F33" s="3">
        <f t="shared" si="3"/>
        <v>0</v>
      </c>
      <c r="G33" s="3"/>
      <c r="I33" s="164" t="s">
        <v>36</v>
      </c>
      <c r="J33" s="165"/>
      <c r="K33" s="164" t="s">
        <v>49</v>
      </c>
      <c r="L33" s="165"/>
      <c r="M33" s="16"/>
      <c r="N33" s="115"/>
      <c r="O33" s="42"/>
      <c r="P33" s="65"/>
      <c r="Q33" s="9"/>
      <c r="R33" s="16"/>
      <c r="S33" s="16"/>
      <c r="T33" s="16"/>
      <c r="U33" s="16"/>
      <c r="V33" s="16"/>
    </row>
    <row r="34" spans="1:22" ht="12.4" customHeight="1" x14ac:dyDescent="0.2">
      <c r="A34" s="63">
        <v>6.3048362731933594</v>
      </c>
      <c r="B34" s="84">
        <v>4.9401228705601402E-2</v>
      </c>
      <c r="C34" s="3">
        <f t="shared" si="0"/>
        <v>0</v>
      </c>
      <c r="D34" s="3">
        <f t="shared" si="1"/>
        <v>3.3745673291706295E-2</v>
      </c>
      <c r="E34" s="3">
        <f t="shared" si="2"/>
        <v>0</v>
      </c>
      <c r="F34" s="3">
        <f t="shared" si="3"/>
        <v>0</v>
      </c>
      <c r="G34" s="3"/>
      <c r="I34" s="166">
        <v>5.5627783528408359E-2</v>
      </c>
      <c r="J34" s="167"/>
      <c r="K34" s="166">
        <f>LOOKUP(I34,B$18:B$136,A$18:A$136)</f>
        <v>52.029392242431641</v>
      </c>
      <c r="L34" s="167"/>
      <c r="M34" s="83"/>
      <c r="N34" s="115"/>
      <c r="O34" s="42"/>
      <c r="P34" s="65"/>
      <c r="Q34" s="9"/>
      <c r="R34" s="16"/>
      <c r="S34" s="16"/>
      <c r="T34" s="16"/>
      <c r="U34" s="16"/>
      <c r="V34" s="16"/>
    </row>
    <row r="35" spans="1:22" ht="12.4" customHeight="1" x14ac:dyDescent="0.2">
      <c r="A35" s="63">
        <v>6.9050431251525879</v>
      </c>
      <c r="B35" s="84">
        <v>4.9770351931619938E-2</v>
      </c>
      <c r="C35" s="3">
        <f t="shared" si="0"/>
        <v>0</v>
      </c>
      <c r="D35" s="3">
        <f t="shared" si="1"/>
        <v>3.3997819080707488E-2</v>
      </c>
      <c r="E35" s="3">
        <f t="shared" si="2"/>
        <v>0</v>
      </c>
      <c r="F35" s="3">
        <f t="shared" si="3"/>
        <v>0</v>
      </c>
      <c r="G35" s="3"/>
      <c r="H35" s="24"/>
      <c r="I35" s="63"/>
      <c r="J35" s="63"/>
      <c r="K35" s="152"/>
      <c r="L35" s="152"/>
      <c r="M35" s="152"/>
      <c r="N35" s="115"/>
      <c r="O35" s="42"/>
      <c r="P35" s="65"/>
      <c r="Q35" s="9"/>
      <c r="R35" s="16"/>
      <c r="S35" s="16"/>
      <c r="T35" s="16"/>
      <c r="U35" s="16"/>
      <c r="V35" s="16"/>
    </row>
    <row r="36" spans="1:22" ht="12.4" customHeight="1" x14ac:dyDescent="0.2">
      <c r="A36" s="63">
        <v>7.5520882606506348</v>
      </c>
      <c r="B36" s="84">
        <v>5.0139479018191123E-2</v>
      </c>
      <c r="C36" s="3">
        <f t="shared" si="0"/>
        <v>0</v>
      </c>
      <c r="D36" s="3">
        <f t="shared" si="1"/>
        <v>3.4249967506828273E-2</v>
      </c>
      <c r="E36" s="3">
        <f t="shared" si="2"/>
        <v>0</v>
      </c>
      <c r="F36" s="3">
        <f t="shared" si="3"/>
        <v>0</v>
      </c>
      <c r="G36" s="3"/>
      <c r="H36" s="24"/>
      <c r="I36" s="63"/>
      <c r="J36" s="63"/>
      <c r="K36" s="63"/>
      <c r="L36" s="63"/>
      <c r="M36" s="63"/>
      <c r="N36" s="115"/>
      <c r="O36" s="42"/>
      <c r="P36" s="65"/>
      <c r="Q36" s="9"/>
      <c r="R36" s="16"/>
      <c r="S36" s="16"/>
      <c r="T36" s="16"/>
      <c r="U36" s="16"/>
      <c r="V36" s="16"/>
    </row>
    <row r="37" spans="1:22" ht="12.4" customHeight="1" x14ac:dyDescent="0.2">
      <c r="A37" s="63">
        <v>8.2457265853881836</v>
      </c>
      <c r="B37" s="84">
        <v>5.0447082813067728E-2</v>
      </c>
      <c r="C37" s="3">
        <f t="shared" si="0"/>
        <v>0</v>
      </c>
      <c r="D37" s="3">
        <f t="shared" si="1"/>
        <v>3.4460089753524902E-2</v>
      </c>
      <c r="E37" s="3">
        <f t="shared" si="2"/>
        <v>0</v>
      </c>
      <c r="F37" s="3">
        <f t="shared" si="3"/>
        <v>0</v>
      </c>
      <c r="G37" s="3"/>
      <c r="H37" s="24"/>
      <c r="I37" s="63"/>
      <c r="J37" s="63"/>
      <c r="K37" s="63"/>
      <c r="L37" s="63"/>
      <c r="M37" s="63"/>
      <c r="N37" s="115"/>
      <c r="O37" s="42"/>
      <c r="P37" s="65"/>
      <c r="Q37" s="9"/>
      <c r="R37" s="16"/>
      <c r="S37" s="16"/>
      <c r="T37" s="16"/>
      <c r="U37" s="16"/>
      <c r="V37" s="16"/>
    </row>
    <row r="38" spans="1:22" ht="12.4" customHeight="1" x14ac:dyDescent="0.2">
      <c r="A38" s="63">
        <v>9.0223779678344727</v>
      </c>
      <c r="B38" s="84">
        <v>5.063164261874821E-2</v>
      </c>
      <c r="C38" s="3">
        <f t="shared" si="0"/>
        <v>0</v>
      </c>
      <c r="D38" s="3">
        <f t="shared" si="1"/>
        <v>3.4586161413450403E-2</v>
      </c>
      <c r="E38" s="3">
        <f t="shared" si="2"/>
        <v>0</v>
      </c>
      <c r="F38" s="3">
        <f t="shared" si="3"/>
        <v>0</v>
      </c>
      <c r="G38" s="3"/>
      <c r="N38" s="115"/>
      <c r="O38" s="42"/>
      <c r="P38" s="65"/>
      <c r="Q38" s="9"/>
      <c r="R38" s="16"/>
      <c r="S38" s="16"/>
      <c r="T38" s="16"/>
      <c r="U38" s="16"/>
      <c r="V38" s="16"/>
    </row>
    <row r="39" spans="1:22" ht="12.4" customHeight="1" x14ac:dyDescent="0.2">
      <c r="A39" s="63">
        <v>9.8756437301635742</v>
      </c>
      <c r="B39" s="84">
        <v>5.0939246020192695E-2</v>
      </c>
      <c r="C39" s="3">
        <f t="shared" si="0"/>
        <v>0</v>
      </c>
      <c r="D39" s="3">
        <f t="shared" si="1"/>
        <v>3.4796283391395989E-2</v>
      </c>
      <c r="E39" s="3">
        <f t="shared" si="2"/>
        <v>0</v>
      </c>
      <c r="F39" s="3">
        <f t="shared" si="3"/>
        <v>0</v>
      </c>
      <c r="G39" s="3"/>
      <c r="N39" s="115"/>
      <c r="O39" s="42"/>
      <c r="P39" s="65"/>
      <c r="Q39" s="9"/>
      <c r="R39" s="16"/>
      <c r="S39" s="16"/>
      <c r="T39" s="16"/>
      <c r="U39" s="16"/>
      <c r="V39" s="16"/>
    </row>
    <row r="40" spans="1:22" ht="12.4" customHeight="1" x14ac:dyDescent="0.2">
      <c r="A40" s="63">
        <v>10.786002159118652</v>
      </c>
      <c r="B40" s="84">
        <v>5.1246849470816203E-2</v>
      </c>
      <c r="C40" s="3">
        <f t="shared" si="0"/>
        <v>0</v>
      </c>
      <c r="D40" s="3">
        <f t="shared" si="1"/>
        <v>3.500640540293546E-2</v>
      </c>
      <c r="E40" s="3">
        <f t="shared" si="2"/>
        <v>0</v>
      </c>
      <c r="F40" s="3">
        <f t="shared" si="3"/>
        <v>0</v>
      </c>
      <c r="G40" s="3"/>
      <c r="N40" s="115"/>
      <c r="O40" s="42"/>
      <c r="P40" s="65"/>
      <c r="Q40" s="9"/>
      <c r="R40" s="16"/>
      <c r="S40" s="16"/>
      <c r="T40" s="16"/>
      <c r="U40" s="16"/>
      <c r="V40" s="16"/>
    </row>
    <row r="41" spans="1:22" ht="12.4" customHeight="1" x14ac:dyDescent="0.2">
      <c r="A41" s="63">
        <v>11.88691520690918</v>
      </c>
      <c r="B41" s="84">
        <v>5.1615973016498333E-2</v>
      </c>
      <c r="C41" s="3">
        <f t="shared" si="0"/>
        <v>0</v>
      </c>
      <c r="D41" s="3">
        <f t="shared" si="1"/>
        <v>3.5258551410296872E-2</v>
      </c>
      <c r="E41" s="3">
        <f t="shared" si="2"/>
        <v>0</v>
      </c>
      <c r="F41" s="3">
        <f t="shared" si="3"/>
        <v>0</v>
      </c>
      <c r="G41" s="3"/>
      <c r="N41" s="115"/>
      <c r="O41" s="42"/>
      <c r="P41" s="65"/>
      <c r="Q41" s="9"/>
      <c r="R41" s="16"/>
      <c r="S41" s="16"/>
      <c r="T41" s="16"/>
      <c r="U41" s="16"/>
      <c r="V41" s="16"/>
    </row>
    <row r="42" spans="1:22" ht="12.4" customHeight="1" x14ac:dyDescent="0.2">
      <c r="A42" s="63">
        <v>12.87938404083252</v>
      </c>
      <c r="B42" s="84">
        <v>5.1800536326183609E-2</v>
      </c>
      <c r="C42" s="3">
        <f t="shared" si="0"/>
        <v>0</v>
      </c>
      <c r="D42" s="3">
        <f t="shared" si="1"/>
        <v>3.5384625463786339E-2</v>
      </c>
      <c r="E42" s="3">
        <f t="shared" si="2"/>
        <v>0</v>
      </c>
      <c r="F42" s="3">
        <f t="shared" si="3"/>
        <v>0</v>
      </c>
      <c r="G42" s="3"/>
      <c r="H42" s="24"/>
      <c r="I42" s="63"/>
      <c r="J42" s="63"/>
      <c r="K42" s="63"/>
      <c r="L42" s="63"/>
      <c r="M42" s="63"/>
      <c r="N42" s="115"/>
      <c r="O42" s="42"/>
      <c r="P42" s="65"/>
      <c r="Q42" s="9"/>
      <c r="R42" s="16"/>
      <c r="S42" s="16"/>
      <c r="T42" s="16"/>
      <c r="U42" s="16"/>
      <c r="V42" s="16"/>
    </row>
    <row r="43" spans="1:22" ht="12.4" customHeight="1" x14ac:dyDescent="0.2">
      <c r="A43" s="63">
        <v>14.18340015411377</v>
      </c>
      <c r="B43" s="84">
        <v>5.2231180139050905E-2</v>
      </c>
      <c r="C43" s="3">
        <f t="shared" si="0"/>
        <v>0</v>
      </c>
      <c r="D43" s="3">
        <f t="shared" si="1"/>
        <v>3.5678795584548263E-2</v>
      </c>
      <c r="E43" s="3">
        <f t="shared" si="2"/>
        <v>0</v>
      </c>
      <c r="F43" s="3">
        <f t="shared" si="3"/>
        <v>0</v>
      </c>
      <c r="G43" s="3"/>
      <c r="H43" s="24"/>
      <c r="I43" s="63"/>
      <c r="J43" s="63"/>
      <c r="K43" s="63"/>
      <c r="L43" s="63"/>
      <c r="M43" s="146"/>
      <c r="N43" s="115"/>
      <c r="O43" s="42"/>
      <c r="P43" s="65"/>
      <c r="Q43" s="9"/>
      <c r="R43" s="16"/>
      <c r="S43" s="16"/>
      <c r="T43" s="16"/>
      <c r="U43" s="16"/>
      <c r="V43" s="16"/>
    </row>
    <row r="44" spans="1:22" ht="12.4" customHeight="1" x14ac:dyDescent="0.2">
      <c r="A44" s="63">
        <v>15.473307609558105</v>
      </c>
      <c r="B44" s="84">
        <v>5.2354223501214596E-2</v>
      </c>
      <c r="C44" s="3">
        <f t="shared" si="0"/>
        <v>0</v>
      </c>
      <c r="D44" s="3">
        <f t="shared" si="1"/>
        <v>3.5762845742997429E-2</v>
      </c>
      <c r="E44" s="3">
        <f t="shared" si="2"/>
        <v>0</v>
      </c>
      <c r="F44" s="3">
        <f t="shared" si="3"/>
        <v>0</v>
      </c>
      <c r="G44" s="3"/>
      <c r="H44" s="24"/>
      <c r="I44" s="63"/>
      <c r="J44" s="63"/>
      <c r="K44" s="63"/>
      <c r="L44" s="63"/>
      <c r="M44" s="146"/>
      <c r="N44" s="115"/>
      <c r="O44" s="42"/>
      <c r="P44" s="65"/>
      <c r="Q44" s="9"/>
      <c r="R44" s="16"/>
      <c r="S44" s="16"/>
      <c r="T44" s="16"/>
      <c r="U44" s="16"/>
      <c r="V44" s="16"/>
    </row>
    <row r="45" spans="1:22" ht="12.4" customHeight="1" x14ac:dyDescent="0.2">
      <c r="A45" s="63">
        <v>16.871246337890625</v>
      </c>
      <c r="B45" s="84">
        <v>5.2784867609155996E-2</v>
      </c>
      <c r="C45" s="3">
        <f t="shared" si="0"/>
        <v>0</v>
      </c>
      <c r="D45" s="3">
        <f t="shared" si="1"/>
        <v>3.6057016065322647E-2</v>
      </c>
      <c r="E45" s="3">
        <f t="shared" si="2"/>
        <v>0</v>
      </c>
      <c r="F45" s="3">
        <f t="shared" si="3"/>
        <v>0</v>
      </c>
      <c r="G45" s="3"/>
      <c r="H45" s="24"/>
      <c r="I45" s="63"/>
      <c r="J45" s="63"/>
      <c r="K45" s="63"/>
      <c r="L45" s="63"/>
      <c r="M45" s="146"/>
      <c r="N45" s="115"/>
      <c r="O45" s="42"/>
      <c r="P45" s="65"/>
      <c r="Q45" s="9"/>
      <c r="R45" s="16"/>
      <c r="S45" s="16"/>
      <c r="T45" s="16"/>
      <c r="U45" s="16"/>
      <c r="V45" s="16"/>
    </row>
    <row r="46" spans="1:22" ht="12.4" customHeight="1" x14ac:dyDescent="0.2">
      <c r="A46" s="63">
        <v>18.465974807739258</v>
      </c>
      <c r="B46" s="84">
        <v>5.3153991400733194E-2</v>
      </c>
      <c r="C46" s="3">
        <f t="shared" si="0"/>
        <v>0</v>
      </c>
      <c r="D46" s="3">
        <f t="shared" si="1"/>
        <v>3.6309162240653461E-2</v>
      </c>
      <c r="E46" s="3">
        <f t="shared" si="2"/>
        <v>0</v>
      </c>
      <c r="F46" s="3">
        <f t="shared" si="3"/>
        <v>0</v>
      </c>
      <c r="G46" s="3"/>
      <c r="H46" s="24"/>
      <c r="I46" s="63"/>
      <c r="J46" s="63"/>
      <c r="K46" s="63"/>
      <c r="L46" s="63"/>
      <c r="M46" s="146"/>
      <c r="N46" s="115"/>
      <c r="O46" s="42"/>
      <c r="P46" s="65"/>
      <c r="Q46" s="9"/>
      <c r="R46" s="16"/>
      <c r="S46" s="16"/>
      <c r="T46" s="16"/>
      <c r="U46" s="16"/>
      <c r="V46" s="16"/>
    </row>
    <row r="47" spans="1:22" ht="12.4" customHeight="1" x14ac:dyDescent="0.2">
      <c r="A47" s="63">
        <v>20.259786605834961</v>
      </c>
      <c r="B47" s="84">
        <v>5.3584639098742663E-2</v>
      </c>
      <c r="C47" s="3">
        <f t="shared" si="0"/>
        <v>0</v>
      </c>
      <c r="D47" s="3">
        <f t="shared" si="1"/>
        <v>3.6603335015331938E-2</v>
      </c>
      <c r="E47" s="3">
        <f t="shared" si="2"/>
        <v>0</v>
      </c>
      <c r="F47" s="3">
        <f t="shared" si="3"/>
        <v>0</v>
      </c>
      <c r="G47" s="3"/>
      <c r="H47" s="24"/>
      <c r="I47" s="63"/>
      <c r="J47" s="63"/>
      <c r="K47" s="63"/>
      <c r="L47" s="63"/>
      <c r="M47" s="146"/>
      <c r="N47" s="115"/>
      <c r="O47" s="42"/>
      <c r="P47" s="65"/>
      <c r="Q47" s="9"/>
      <c r="R47" s="16"/>
      <c r="S47" s="16"/>
      <c r="T47" s="16"/>
      <c r="U47" s="16"/>
      <c r="V47" s="16"/>
    </row>
    <row r="48" spans="1:22" ht="12.4" customHeight="1" x14ac:dyDescent="0.2">
      <c r="A48" s="63">
        <v>22.160892486572266</v>
      </c>
      <c r="B48" s="84">
        <v>5.4015283403400116E-2</v>
      </c>
      <c r="C48" s="3">
        <f t="shared" si="0"/>
        <v>0</v>
      </c>
      <c r="D48" s="3">
        <f t="shared" si="1"/>
        <v>3.6897505472032681E-2</v>
      </c>
      <c r="E48" s="3">
        <f t="shared" si="2"/>
        <v>0</v>
      </c>
      <c r="F48" s="3">
        <f t="shared" si="3"/>
        <v>0</v>
      </c>
      <c r="G48" s="3"/>
      <c r="H48" s="24"/>
      <c r="I48" s="63"/>
      <c r="J48" s="63"/>
      <c r="K48" s="63"/>
      <c r="L48" s="63"/>
      <c r="M48" s="146"/>
      <c r="N48" s="115"/>
      <c r="O48" s="42"/>
      <c r="P48" s="65"/>
      <c r="Q48" s="9"/>
      <c r="R48" s="16"/>
      <c r="S48" s="16"/>
      <c r="T48" s="16"/>
      <c r="U48" s="16"/>
      <c r="V48" s="16"/>
    </row>
    <row r="49" spans="1:22" ht="12.4" customHeight="1" x14ac:dyDescent="0.2">
      <c r="A49" s="63">
        <v>24.256324768066406</v>
      </c>
      <c r="B49" s="84">
        <v>5.4445934543940616E-2</v>
      </c>
      <c r="C49" s="3">
        <f t="shared" si="0"/>
        <v>0</v>
      </c>
      <c r="D49" s="3">
        <f t="shared" si="1"/>
        <v>3.7191680598282775E-2</v>
      </c>
      <c r="E49" s="3">
        <f t="shared" si="2"/>
        <v>0</v>
      </c>
      <c r="F49" s="3">
        <f t="shared" si="3"/>
        <v>0</v>
      </c>
      <c r="G49" s="3"/>
      <c r="H49" s="24"/>
      <c r="I49" s="63"/>
      <c r="J49" s="63"/>
      <c r="K49" s="63"/>
      <c r="L49" s="146"/>
      <c r="M49" s="146"/>
      <c r="N49" s="115"/>
      <c r="O49" s="42"/>
      <c r="P49" s="65"/>
      <c r="Q49" s="9"/>
      <c r="R49" s="16"/>
      <c r="S49" s="16"/>
      <c r="T49" s="16"/>
      <c r="U49" s="16"/>
      <c r="V49" s="16"/>
    </row>
    <row r="50" spans="1:22" ht="12.4" customHeight="1" x14ac:dyDescent="0.2">
      <c r="A50" s="63">
        <v>26.599403381347656</v>
      </c>
      <c r="B50" s="84">
        <v>5.4753535904455995E-2</v>
      </c>
      <c r="C50" s="3">
        <f t="shared" si="0"/>
        <v>0</v>
      </c>
      <c r="D50" s="3">
        <f t="shared" si="1"/>
        <v>3.7401801182082334E-2</v>
      </c>
      <c r="E50" s="3">
        <f t="shared" si="2"/>
        <v>0</v>
      </c>
      <c r="F50" s="3">
        <f t="shared" si="3"/>
        <v>0</v>
      </c>
      <c r="G50" s="3"/>
      <c r="H50" s="24"/>
      <c r="I50" s="63"/>
      <c r="J50" s="63"/>
      <c r="K50" s="63"/>
      <c r="L50" s="146"/>
      <c r="M50" s="146"/>
      <c r="N50" s="115"/>
      <c r="O50" s="42"/>
      <c r="P50" s="65"/>
      <c r="Q50" s="9"/>
      <c r="R50" s="16"/>
      <c r="S50" s="16"/>
      <c r="T50" s="16"/>
      <c r="U50" s="16"/>
      <c r="V50" s="16"/>
    </row>
    <row r="51" spans="1:22" ht="12.4" customHeight="1" x14ac:dyDescent="0.2">
      <c r="A51" s="63">
        <v>28.96766471862793</v>
      </c>
      <c r="B51" s="84">
        <v>5.5245700599246161E-2</v>
      </c>
      <c r="C51" s="3">
        <f t="shared" si="0"/>
        <v>0</v>
      </c>
      <c r="D51" s="3">
        <f t="shared" si="1"/>
        <v>3.7737995836168298E-2</v>
      </c>
      <c r="E51" s="3">
        <f t="shared" si="2"/>
        <v>0</v>
      </c>
      <c r="F51" s="3">
        <f t="shared" si="3"/>
        <v>0</v>
      </c>
      <c r="G51" s="3"/>
      <c r="H51" s="24"/>
      <c r="I51" s="63"/>
      <c r="J51" s="63"/>
      <c r="K51" s="63"/>
      <c r="L51" s="146"/>
      <c r="M51" s="146"/>
      <c r="N51" s="115"/>
      <c r="O51" s="42"/>
      <c r="P51" s="65"/>
      <c r="Q51" s="9"/>
      <c r="R51" s="16"/>
      <c r="S51" s="16"/>
      <c r="T51" s="16"/>
      <c r="U51" s="16"/>
      <c r="V51" s="16"/>
    </row>
    <row r="52" spans="1:22" ht="12.4" customHeight="1" x14ac:dyDescent="0.2">
      <c r="A52" s="63">
        <v>29.789762496948242</v>
      </c>
      <c r="B52" s="84">
        <v>5.5245700599246161E-2</v>
      </c>
      <c r="C52" s="3">
        <f t="shared" si="0"/>
        <v>0</v>
      </c>
      <c r="D52" s="3">
        <f t="shared" si="1"/>
        <v>3.7737995836168298E-2</v>
      </c>
      <c r="E52" s="3">
        <f t="shared" si="2"/>
        <v>0</v>
      </c>
      <c r="F52" s="3">
        <f t="shared" si="3"/>
        <v>0</v>
      </c>
      <c r="G52" s="3"/>
      <c r="H52" s="24"/>
      <c r="I52" s="63"/>
      <c r="J52" s="63"/>
      <c r="K52" s="63"/>
      <c r="L52" s="146"/>
      <c r="M52" s="146"/>
      <c r="N52" s="115"/>
      <c r="O52" s="42"/>
      <c r="P52" s="65"/>
      <c r="Q52" s="9"/>
      <c r="R52" s="16"/>
      <c r="S52" s="16"/>
      <c r="T52" s="16"/>
      <c r="U52" s="16"/>
      <c r="V52" s="16"/>
    </row>
    <row r="53" spans="1:22" ht="12.4" customHeight="1" x14ac:dyDescent="0.2">
      <c r="A53" s="63">
        <v>32.547290802001953</v>
      </c>
      <c r="B53" s="84">
        <v>5.5627783528408359E-2</v>
      </c>
      <c r="C53" s="3">
        <f t="shared" si="0"/>
        <v>0</v>
      </c>
      <c r="D53" s="3">
        <f t="shared" si="1"/>
        <v>3.799899431810249E-2</v>
      </c>
      <c r="E53" s="3">
        <f t="shared" si="2"/>
        <v>0</v>
      </c>
      <c r="F53" s="3">
        <f t="shared" si="3"/>
        <v>0</v>
      </c>
      <c r="G53" s="3"/>
      <c r="H53" s="24"/>
      <c r="I53" s="63"/>
      <c r="J53" s="63"/>
      <c r="K53" s="63"/>
      <c r="L53" s="146"/>
      <c r="M53" s="146"/>
      <c r="N53" s="115"/>
      <c r="O53" s="42"/>
      <c r="P53" s="65"/>
      <c r="Q53" s="9"/>
      <c r="R53" s="16"/>
      <c r="S53" s="16"/>
      <c r="T53" s="16"/>
      <c r="U53" s="16"/>
      <c r="V53" s="16"/>
    </row>
    <row r="54" spans="1:22" ht="12.4" customHeight="1" x14ac:dyDescent="0.2">
      <c r="A54" s="63">
        <v>36.365528106689453</v>
      </c>
      <c r="B54" s="84">
        <v>5.5627783528408359E-2</v>
      </c>
      <c r="C54" s="3">
        <f t="shared" si="0"/>
        <v>0</v>
      </c>
      <c r="D54" s="3">
        <f t="shared" si="1"/>
        <v>3.799899431810249E-2</v>
      </c>
      <c r="E54" s="3">
        <f t="shared" si="2"/>
        <v>0</v>
      </c>
      <c r="F54" s="3">
        <f t="shared" si="3"/>
        <v>0</v>
      </c>
      <c r="G54" s="3"/>
      <c r="H54" s="24"/>
      <c r="I54" s="63"/>
      <c r="J54" s="63"/>
      <c r="K54" s="63"/>
      <c r="L54" s="146"/>
      <c r="M54" s="146"/>
      <c r="N54" s="115"/>
      <c r="O54" s="42"/>
      <c r="P54" s="65"/>
      <c r="Q54" s="9"/>
      <c r="R54" s="16"/>
      <c r="S54" s="16"/>
      <c r="T54" s="16"/>
      <c r="U54" s="16"/>
      <c r="V54" s="16"/>
    </row>
    <row r="55" spans="1:22" ht="12.4" customHeight="1" x14ac:dyDescent="0.2">
      <c r="A55" s="63">
        <v>40.300357818603516</v>
      </c>
      <c r="B55" s="84">
        <v>5.5627783528408359E-2</v>
      </c>
      <c r="C55" s="3">
        <f t="shared" si="0"/>
        <v>0</v>
      </c>
      <c r="D55" s="3">
        <f t="shared" si="1"/>
        <v>3.799899431810249E-2</v>
      </c>
      <c r="E55" s="3">
        <f t="shared" si="2"/>
        <v>0</v>
      </c>
      <c r="F55" s="3">
        <f t="shared" si="3"/>
        <v>0</v>
      </c>
      <c r="G55" s="3"/>
      <c r="H55" s="24"/>
      <c r="I55" s="63"/>
      <c r="J55" s="63"/>
      <c r="K55" s="63"/>
      <c r="L55" s="146"/>
      <c r="M55" s="146"/>
      <c r="N55" s="115"/>
      <c r="O55" s="42"/>
      <c r="P55" s="65"/>
      <c r="Q55" s="9"/>
      <c r="R55" s="16"/>
      <c r="S55" s="16"/>
      <c r="T55" s="16"/>
      <c r="U55" s="16"/>
      <c r="V55" s="16"/>
    </row>
    <row r="56" spans="1:22" ht="12.4" customHeight="1" x14ac:dyDescent="0.2">
      <c r="A56" s="63">
        <v>44.236320495605469</v>
      </c>
      <c r="B56" s="84">
        <v>5.5627783528408359E-2</v>
      </c>
      <c r="C56" s="3">
        <f t="shared" si="0"/>
        <v>0</v>
      </c>
      <c r="D56" s="3">
        <f t="shared" si="1"/>
        <v>3.799899431810249E-2</v>
      </c>
      <c r="E56" s="3">
        <f t="shared" si="2"/>
        <v>0</v>
      </c>
      <c r="F56" s="3">
        <f t="shared" si="3"/>
        <v>0</v>
      </c>
      <c r="G56" s="3"/>
      <c r="H56" s="24"/>
      <c r="I56" s="63"/>
      <c r="J56" s="63"/>
      <c r="K56" s="63"/>
      <c r="L56" s="146"/>
      <c r="M56" s="146"/>
      <c r="N56" s="115"/>
      <c r="O56" s="42"/>
      <c r="P56" s="65"/>
      <c r="Q56" s="9"/>
      <c r="R56" s="16"/>
      <c r="S56" s="16"/>
      <c r="T56" s="16"/>
      <c r="U56" s="16"/>
      <c r="V56" s="16"/>
    </row>
    <row r="57" spans="1:22" ht="12.4" customHeight="1" x14ac:dyDescent="0.2">
      <c r="A57" s="63">
        <v>49.353641510009766</v>
      </c>
      <c r="B57" s="84">
        <v>5.5627783528408359E-2</v>
      </c>
      <c r="C57" s="3">
        <f t="shared" si="0"/>
        <v>0</v>
      </c>
      <c r="D57" s="3">
        <f t="shared" si="1"/>
        <v>3.799899431810249E-2</v>
      </c>
      <c r="E57" s="3">
        <f t="shared" si="2"/>
        <v>0</v>
      </c>
      <c r="F57" s="3">
        <f t="shared" si="3"/>
        <v>0</v>
      </c>
      <c r="G57" s="3"/>
      <c r="H57" s="24"/>
      <c r="I57" s="146"/>
      <c r="J57" s="63"/>
      <c r="K57" s="63"/>
      <c r="L57" s="146"/>
      <c r="M57" s="146"/>
      <c r="N57" s="115"/>
      <c r="O57" s="42"/>
      <c r="P57" s="65"/>
      <c r="Q57" s="9"/>
      <c r="R57" s="16"/>
      <c r="S57" s="16"/>
      <c r="T57" s="16"/>
      <c r="U57" s="16"/>
      <c r="V57" s="16"/>
    </row>
    <row r="58" spans="1:22" ht="12.4" customHeight="1" x14ac:dyDescent="0.2">
      <c r="A58" s="63">
        <v>52.029392242431641</v>
      </c>
      <c r="B58" s="84">
        <v>5.5627783528408359E-2</v>
      </c>
      <c r="C58" s="3">
        <f t="shared" si="0"/>
        <v>0</v>
      </c>
      <c r="D58" s="3">
        <f t="shared" si="1"/>
        <v>3.799899431810249E-2</v>
      </c>
      <c r="E58" s="3">
        <f t="shared" si="2"/>
        <v>0</v>
      </c>
      <c r="F58" s="3">
        <f t="shared" si="3"/>
        <v>0</v>
      </c>
      <c r="G58" s="3"/>
      <c r="H58" s="24"/>
      <c r="I58" s="146"/>
      <c r="J58" s="63"/>
      <c r="K58" s="63"/>
      <c r="L58" s="146"/>
      <c r="M58" s="146"/>
      <c r="N58" s="115"/>
      <c r="O58" s="42"/>
      <c r="P58" s="65"/>
      <c r="Q58" s="9"/>
      <c r="R58" s="16"/>
      <c r="S58" s="16"/>
      <c r="T58" s="16"/>
      <c r="U58" s="16"/>
      <c r="V58" s="16"/>
    </row>
    <row r="59" spans="1:22" ht="12.4" customHeight="1" x14ac:dyDescent="0.2">
      <c r="A59" s="63">
        <v>58.829620361328125</v>
      </c>
      <c r="B59" s="84">
        <v>5.7227783528408356E-2</v>
      </c>
      <c r="C59" s="3">
        <f t="shared" si="0"/>
        <v>1.5999999999999973E-3</v>
      </c>
      <c r="D59" s="3">
        <f t="shared" si="1"/>
        <v>3.909194440621655E-2</v>
      </c>
      <c r="E59" s="3">
        <f t="shared" si="2"/>
        <v>1.1361215650074537E-3</v>
      </c>
      <c r="F59" s="3">
        <f t="shared" si="3"/>
        <v>1.1361215650074537E-3</v>
      </c>
      <c r="G59" s="3"/>
      <c r="H59" s="24"/>
      <c r="I59" s="146"/>
      <c r="J59" s="63"/>
      <c r="K59" s="63"/>
      <c r="L59" s="146"/>
      <c r="M59" s="146"/>
      <c r="N59" s="115"/>
      <c r="O59" s="42"/>
      <c r="P59" s="65"/>
      <c r="Q59" s="9"/>
      <c r="R59" s="16"/>
      <c r="S59" s="16"/>
      <c r="T59" s="16"/>
      <c r="U59" s="16"/>
      <c r="V59" s="16"/>
    </row>
    <row r="60" spans="1:22" ht="12.4" customHeight="1" x14ac:dyDescent="0.2">
      <c r="A60" s="63">
        <v>63.844455718994141</v>
      </c>
      <c r="B60" s="84">
        <v>5.9327783528408361E-2</v>
      </c>
      <c r="C60" s="3">
        <f t="shared" si="0"/>
        <v>3.7000000000000019E-3</v>
      </c>
      <c r="D60" s="3">
        <f t="shared" si="1"/>
        <v>4.0526441396866265E-2</v>
      </c>
      <c r="E60" s="3">
        <f t="shared" si="2"/>
        <v>2.6272811190797426E-3</v>
      </c>
      <c r="F60" s="3">
        <f t="shared" si="3"/>
        <v>1.4911595540722888E-3</v>
      </c>
      <c r="G60" s="3"/>
      <c r="H60" s="24"/>
      <c r="I60" s="146"/>
      <c r="J60" s="63"/>
      <c r="K60" s="63"/>
      <c r="L60" s="146"/>
      <c r="M60" s="146"/>
      <c r="N60" s="115"/>
      <c r="O60" s="42"/>
      <c r="P60" s="65"/>
      <c r="Q60" s="9"/>
      <c r="R60" s="16"/>
      <c r="S60" s="16"/>
      <c r="T60" s="16"/>
      <c r="U60" s="16"/>
      <c r="V60" s="16"/>
    </row>
    <row r="61" spans="1:22" ht="12.4" customHeight="1" x14ac:dyDescent="0.2">
      <c r="A61" s="63">
        <v>70.829780578613281</v>
      </c>
      <c r="B61" s="84">
        <v>6.2627783528408365E-2</v>
      </c>
      <c r="C61" s="3">
        <f t="shared" si="0"/>
        <v>7.0000000000000062E-3</v>
      </c>
      <c r="D61" s="3">
        <f t="shared" si="1"/>
        <v>4.2780650953601521E-2</v>
      </c>
      <c r="E61" s="3">
        <f t="shared" si="2"/>
        <v>4.9705318469076233E-3</v>
      </c>
      <c r="F61" s="3">
        <f t="shared" si="3"/>
        <v>2.3432507278278807E-3</v>
      </c>
      <c r="G61" s="3"/>
      <c r="H61" s="24"/>
      <c r="I61" s="146"/>
      <c r="J61" s="63"/>
      <c r="K61" s="63"/>
      <c r="L61" s="146"/>
      <c r="M61" s="146"/>
      <c r="N61" s="115"/>
      <c r="O61" s="42"/>
      <c r="P61" s="65"/>
      <c r="Q61" s="9"/>
      <c r="R61" s="16"/>
      <c r="S61" s="16"/>
      <c r="T61" s="16"/>
      <c r="U61" s="16"/>
      <c r="V61" s="16"/>
    </row>
    <row r="62" spans="1:22" ht="12.4" customHeight="1" x14ac:dyDescent="0.2">
      <c r="A62" s="63">
        <v>75.756050109863281</v>
      </c>
      <c r="B62" s="84">
        <v>6.7027783528408352E-2</v>
      </c>
      <c r="C62" s="3">
        <f t="shared" si="0"/>
        <v>1.1399999999999993E-2</v>
      </c>
      <c r="D62" s="3">
        <f t="shared" si="1"/>
        <v>4.5786263695915187E-2</v>
      </c>
      <c r="E62" s="3">
        <f t="shared" si="2"/>
        <v>8.0948661506781167E-3</v>
      </c>
      <c r="F62" s="3">
        <f t="shared" si="3"/>
        <v>3.1243343037704934E-3</v>
      </c>
      <c r="G62" s="3"/>
      <c r="H62" s="24"/>
      <c r="I62" s="146"/>
      <c r="J62" s="63"/>
      <c r="K62" s="63"/>
      <c r="L62" s="146"/>
      <c r="M62" s="146"/>
      <c r="N62" s="115"/>
      <c r="O62" s="42"/>
      <c r="P62" s="65"/>
      <c r="Q62" s="9"/>
      <c r="R62" s="16"/>
      <c r="S62" s="16"/>
      <c r="T62" s="16"/>
      <c r="U62" s="16"/>
      <c r="V62" s="16"/>
    </row>
    <row r="63" spans="1:22" ht="12.4" customHeight="1" x14ac:dyDescent="0.2">
      <c r="A63" s="63">
        <v>82.74456787109375</v>
      </c>
      <c r="B63" s="84">
        <v>7.3027783528408358E-2</v>
      </c>
      <c r="C63" s="3">
        <f t="shared" si="0"/>
        <v>1.7399999999999999E-2</v>
      </c>
      <c r="D63" s="3">
        <f t="shared" si="1"/>
        <v>4.9884826526342935E-2</v>
      </c>
      <c r="E63" s="3">
        <f t="shared" si="2"/>
        <v>1.2355322019456079E-2</v>
      </c>
      <c r="F63" s="3">
        <f t="shared" si="3"/>
        <v>4.2604558687779626E-3</v>
      </c>
      <c r="G63" s="3"/>
      <c r="H63" s="24"/>
      <c r="I63" s="146"/>
      <c r="J63" s="63"/>
      <c r="K63" s="63"/>
      <c r="L63" s="146"/>
      <c r="M63" s="146"/>
      <c r="N63" s="115"/>
      <c r="O63" s="42"/>
      <c r="P63" s="65"/>
      <c r="Q63" s="9"/>
      <c r="R63" s="16"/>
      <c r="S63" s="16"/>
      <c r="T63" s="16"/>
      <c r="U63" s="16"/>
      <c r="V63" s="16"/>
    </row>
    <row r="64" spans="1:22" x14ac:dyDescent="0.2">
      <c r="A64" s="63">
        <v>92.042472839355469</v>
      </c>
      <c r="B64" s="84">
        <v>8.3627783528408356E-2</v>
      </c>
      <c r="C64" s="3">
        <f t="shared" si="0"/>
        <v>2.7999999999999997E-2</v>
      </c>
      <c r="D64" s="3">
        <f t="shared" si="1"/>
        <v>5.7125620860098605E-2</v>
      </c>
      <c r="E64" s="3">
        <f t="shared" si="2"/>
        <v>1.9882127387630472E-2</v>
      </c>
      <c r="F64" s="3">
        <f t="shared" si="3"/>
        <v>7.526805368174393E-3</v>
      </c>
      <c r="G64" s="3"/>
      <c r="H64" s="24"/>
      <c r="I64" s="146"/>
      <c r="J64" s="63"/>
      <c r="K64" s="63"/>
      <c r="L64" s="146"/>
      <c r="M64" s="146"/>
      <c r="N64" s="115"/>
      <c r="O64" s="42"/>
      <c r="P64" s="65"/>
      <c r="Q64" s="9"/>
      <c r="R64" s="16"/>
      <c r="S64" s="16"/>
      <c r="T64" s="16"/>
      <c r="U64" s="16"/>
      <c r="V64" s="16"/>
    </row>
    <row r="65" spans="1:22" x14ac:dyDescent="0.2">
      <c r="A65" s="63">
        <v>101.33615875244141</v>
      </c>
      <c r="B65" s="84">
        <v>9.9627783528408356E-2</v>
      </c>
      <c r="C65" s="3">
        <f t="shared" si="0"/>
        <v>4.3999999999999997E-2</v>
      </c>
      <c r="D65" s="3">
        <f t="shared" si="1"/>
        <v>6.8055121741239247E-2</v>
      </c>
      <c r="E65" s="3">
        <f t="shared" si="2"/>
        <v>3.124334303770503E-2</v>
      </c>
      <c r="F65" s="3">
        <f t="shared" si="3"/>
        <v>1.1361215650074558E-2</v>
      </c>
      <c r="G65" s="3"/>
      <c r="H65" s="24"/>
      <c r="I65" s="146"/>
      <c r="J65" s="63"/>
      <c r="K65" s="63"/>
      <c r="L65" s="146"/>
      <c r="M65" s="146"/>
      <c r="N65" s="115"/>
      <c r="O65" s="42"/>
      <c r="P65" s="65"/>
      <c r="Q65" s="9"/>
      <c r="R65" s="16"/>
      <c r="S65" s="16"/>
      <c r="T65" s="16"/>
      <c r="U65" s="16"/>
      <c r="V65" s="16"/>
    </row>
    <row r="66" spans="1:22" x14ac:dyDescent="0.2">
      <c r="A66" s="63">
        <v>110.55809020996094</v>
      </c>
      <c r="B66" s="84">
        <v>0.12992778352840836</v>
      </c>
      <c r="C66" s="3">
        <f t="shared" si="0"/>
        <v>7.4300000000000005E-2</v>
      </c>
      <c r="D66" s="3">
        <f t="shared" si="1"/>
        <v>8.8752864034899334E-2</v>
      </c>
      <c r="E66" s="3">
        <f t="shared" si="2"/>
        <v>5.275864517503373E-2</v>
      </c>
      <c r="F66" s="3">
        <f t="shared" si="3"/>
        <v>2.1515302137328701E-2</v>
      </c>
      <c r="G66" s="3"/>
      <c r="H66" s="24"/>
      <c r="I66" s="146"/>
      <c r="J66" s="63"/>
      <c r="K66" s="63"/>
      <c r="L66" s="146"/>
      <c r="M66" s="146"/>
      <c r="N66" s="115"/>
      <c r="O66" s="42"/>
      <c r="P66" s="65"/>
      <c r="Q66" s="9"/>
      <c r="R66" s="16"/>
      <c r="S66" s="16"/>
      <c r="T66" s="16"/>
      <c r="U66" s="16"/>
      <c r="V66" s="16"/>
    </row>
    <row r="67" spans="1:22" x14ac:dyDescent="0.2">
      <c r="A67" s="63">
        <v>121.01509094238281</v>
      </c>
      <c r="B67" s="84">
        <v>0.17422778352840834</v>
      </c>
      <c r="C67" s="3">
        <f t="shared" si="0"/>
        <v>0.11859999999999998</v>
      </c>
      <c r="D67" s="3">
        <f t="shared" si="1"/>
        <v>0.11901391959955746</v>
      </c>
      <c r="E67" s="3">
        <f t="shared" si="2"/>
        <v>8.4215011006177648E-2</v>
      </c>
      <c r="F67" s="3">
        <f t="shared" si="3"/>
        <v>3.1456365831143918E-2</v>
      </c>
      <c r="G67" s="3"/>
      <c r="H67" s="24"/>
      <c r="I67" s="146"/>
      <c r="J67" s="63"/>
      <c r="K67" s="146"/>
      <c r="L67" s="146"/>
      <c r="M67" s="146"/>
      <c r="N67" s="115"/>
      <c r="O67" s="42"/>
      <c r="P67" s="65"/>
      <c r="Q67" s="9"/>
      <c r="R67" s="16"/>
      <c r="S67" s="16"/>
      <c r="T67" s="16"/>
      <c r="U67" s="16"/>
      <c r="V67" s="16"/>
    </row>
    <row r="68" spans="1:22" x14ac:dyDescent="0.2">
      <c r="A68" s="63">
        <v>132.60713195800781</v>
      </c>
      <c r="B68" s="84">
        <v>0.24562778352840836</v>
      </c>
      <c r="C68" s="3">
        <f t="shared" si="0"/>
        <v>0.19</v>
      </c>
      <c r="D68" s="3">
        <f t="shared" si="1"/>
        <v>0.16778681728164757</v>
      </c>
      <c r="E68" s="3">
        <f t="shared" si="2"/>
        <v>0.13491443584463536</v>
      </c>
      <c r="F68" s="3">
        <f t="shared" si="3"/>
        <v>5.0699424838457713E-2</v>
      </c>
      <c r="G68" s="3"/>
      <c r="H68" s="24"/>
      <c r="I68" s="146"/>
      <c r="J68" s="63"/>
      <c r="K68" s="146"/>
      <c r="L68" s="146"/>
      <c r="M68" s="146"/>
      <c r="N68" s="115"/>
      <c r="O68" s="42"/>
      <c r="P68" s="65"/>
      <c r="Q68" s="16"/>
      <c r="R68" s="16"/>
      <c r="S68" s="16"/>
      <c r="T68" s="16"/>
      <c r="U68" s="16"/>
      <c r="V68" s="16"/>
    </row>
    <row r="69" spans="1:22" x14ac:dyDescent="0.2">
      <c r="A69" s="63">
        <v>144.85725402832031</v>
      </c>
      <c r="B69" s="84">
        <v>0.32972778352840837</v>
      </c>
      <c r="C69" s="3">
        <f t="shared" si="0"/>
        <v>0.27410000000000001</v>
      </c>
      <c r="D69" s="3">
        <f t="shared" si="1"/>
        <v>0.22523500628814305</v>
      </c>
      <c r="E69" s="3">
        <f t="shared" si="2"/>
        <v>0.19463182560533976</v>
      </c>
      <c r="F69" s="3">
        <f t="shared" si="3"/>
        <v>5.9717389760704398E-2</v>
      </c>
      <c r="G69" s="3"/>
      <c r="H69" s="24"/>
      <c r="I69" s="146"/>
      <c r="J69" s="134"/>
      <c r="K69" s="146"/>
      <c r="L69" s="146"/>
      <c r="M69" s="134"/>
      <c r="N69" s="115"/>
      <c r="O69" s="42"/>
      <c r="P69" s="65"/>
      <c r="Q69" s="16"/>
      <c r="R69" s="16"/>
      <c r="S69" s="16"/>
      <c r="T69" s="16"/>
      <c r="U69" s="16"/>
      <c r="V69" s="16"/>
    </row>
    <row r="70" spans="1:22" x14ac:dyDescent="0.2">
      <c r="A70" s="63">
        <v>158.28253173828125</v>
      </c>
      <c r="B70" s="84">
        <v>0.43272778352840835</v>
      </c>
      <c r="C70" s="3">
        <f t="shared" si="0"/>
        <v>0.37709999999999999</v>
      </c>
      <c r="D70" s="3">
        <f t="shared" si="1"/>
        <v>0.29559366821048588</v>
      </c>
      <c r="E70" s="3">
        <f t="shared" si="2"/>
        <v>0.2677696513526947</v>
      </c>
      <c r="F70" s="3">
        <f t="shared" si="3"/>
        <v>7.3137825747354945E-2</v>
      </c>
      <c r="G70" s="3"/>
      <c r="H70" s="24"/>
      <c r="I70" s="146"/>
      <c r="J70" s="134"/>
      <c r="K70" s="146"/>
      <c r="L70" s="146"/>
      <c r="M70" s="134"/>
      <c r="N70" s="115"/>
      <c r="O70" s="42"/>
      <c r="P70" s="65"/>
      <c r="Q70" s="16"/>
      <c r="R70" s="16"/>
      <c r="S70" s="16"/>
      <c r="T70" s="16"/>
      <c r="U70" s="16"/>
      <c r="V70" s="16"/>
    </row>
    <row r="71" spans="1:22" x14ac:dyDescent="0.2">
      <c r="A71" s="63">
        <v>173.85716247558594</v>
      </c>
      <c r="B71" s="84">
        <v>0.53032778352840837</v>
      </c>
      <c r="C71" s="3">
        <f t="shared" si="0"/>
        <v>0.47470000000000001</v>
      </c>
      <c r="D71" s="3">
        <f t="shared" si="1"/>
        <v>0.36226362358544378</v>
      </c>
      <c r="E71" s="3">
        <f t="shared" si="2"/>
        <v>0.33707306681814952</v>
      </c>
      <c r="F71" s="3">
        <f t="shared" si="3"/>
        <v>6.9303415465454821E-2</v>
      </c>
      <c r="G71" s="3"/>
      <c r="H71" s="24"/>
      <c r="I71" s="146"/>
      <c r="J71" s="134"/>
      <c r="K71" s="146"/>
      <c r="L71" s="146"/>
      <c r="M71" s="134"/>
      <c r="N71" s="115"/>
      <c r="O71" s="42"/>
      <c r="P71" s="65"/>
      <c r="Q71" s="16"/>
      <c r="R71" s="16"/>
      <c r="S71" s="16"/>
      <c r="T71" s="16"/>
      <c r="U71" s="16"/>
      <c r="V71" s="16"/>
    </row>
    <row r="72" spans="1:22" x14ac:dyDescent="0.2">
      <c r="A72" s="63">
        <v>190.02742004394531</v>
      </c>
      <c r="B72" s="84">
        <v>0.59322778352840833</v>
      </c>
      <c r="C72" s="3">
        <f t="shared" si="0"/>
        <v>0.53759999999999997</v>
      </c>
      <c r="D72" s="3">
        <f t="shared" si="1"/>
        <v>0.40523022392442792</v>
      </c>
      <c r="E72" s="3">
        <f t="shared" si="2"/>
        <v>0.38173684584250511</v>
      </c>
      <c r="F72" s="3">
        <f t="shared" si="3"/>
        <v>4.4663779024355588E-2</v>
      </c>
      <c r="G72" s="3"/>
      <c r="H72" s="24"/>
      <c r="I72" s="146"/>
      <c r="J72" s="134"/>
      <c r="K72" s="146"/>
      <c r="L72" s="146"/>
      <c r="M72" s="134"/>
      <c r="N72" s="115"/>
      <c r="O72" s="42"/>
      <c r="P72" s="65"/>
      <c r="Q72" s="16"/>
      <c r="R72" s="16"/>
      <c r="S72" s="16"/>
      <c r="T72" s="16"/>
      <c r="U72" s="16"/>
      <c r="V72" s="16"/>
    </row>
    <row r="73" spans="1:22" x14ac:dyDescent="0.2">
      <c r="A73" s="63">
        <v>207.82868957519531</v>
      </c>
      <c r="B73" s="84">
        <v>0.63882778352840841</v>
      </c>
      <c r="C73" s="3">
        <f t="shared" si="0"/>
        <v>0.58320000000000005</v>
      </c>
      <c r="D73" s="3">
        <f t="shared" si="1"/>
        <v>0.43637930143567877</v>
      </c>
      <c r="E73" s="3">
        <f t="shared" si="2"/>
        <v>0.41411631044521763</v>
      </c>
      <c r="F73" s="3">
        <f t="shared" si="3"/>
        <v>3.2379464602712515E-2</v>
      </c>
      <c r="G73" s="3"/>
      <c r="H73" s="24"/>
      <c r="I73" s="146"/>
      <c r="J73" s="134"/>
      <c r="K73" s="146"/>
      <c r="L73" s="146"/>
      <c r="M73" s="134"/>
      <c r="N73" s="115"/>
      <c r="O73" s="42"/>
      <c r="P73" s="65"/>
      <c r="Q73" s="16"/>
      <c r="R73" s="16"/>
      <c r="S73" s="16"/>
      <c r="T73" s="16"/>
      <c r="U73" s="16"/>
      <c r="V73" s="16"/>
    </row>
    <row r="74" spans="1:22" x14ac:dyDescent="0.2">
      <c r="A74" s="63">
        <v>227.32835388183594</v>
      </c>
      <c r="B74" s="84">
        <v>0.6772277835284084</v>
      </c>
      <c r="C74" s="3">
        <f t="shared" si="0"/>
        <v>0.62160000000000004</v>
      </c>
      <c r="D74" s="3">
        <f t="shared" si="1"/>
        <v>0.46261010355041632</v>
      </c>
      <c r="E74" s="3">
        <f t="shared" si="2"/>
        <v>0.44138322800539659</v>
      </c>
      <c r="F74" s="3">
        <f t="shared" si="3"/>
        <v>2.726691756017896E-2</v>
      </c>
      <c r="G74" s="3"/>
      <c r="H74" s="24"/>
      <c r="I74" s="146"/>
      <c r="J74" s="134"/>
      <c r="K74" s="146"/>
      <c r="L74" s="134"/>
      <c r="M74" s="134"/>
      <c r="N74" s="115"/>
      <c r="O74" s="42"/>
      <c r="P74" s="65"/>
      <c r="Q74" s="16"/>
      <c r="R74" s="16"/>
      <c r="S74" s="16"/>
      <c r="T74" s="16"/>
      <c r="U74" s="16"/>
      <c r="V74" s="16"/>
    </row>
    <row r="75" spans="1:22" x14ac:dyDescent="0.2">
      <c r="A75" s="63">
        <v>250.06832885742188</v>
      </c>
      <c r="B75" s="84">
        <v>0.71132778352840831</v>
      </c>
      <c r="C75" s="3">
        <f t="shared" si="0"/>
        <v>0.65569999999999995</v>
      </c>
      <c r="D75" s="3">
        <f t="shared" si="1"/>
        <v>0.48590360230334723</v>
      </c>
      <c r="E75" s="3">
        <f t="shared" si="2"/>
        <v>0.4655968188596179</v>
      </c>
      <c r="F75" s="3">
        <f t="shared" si="3"/>
        <v>2.4213590854221312E-2</v>
      </c>
      <c r="G75" s="3"/>
      <c r="H75" s="24"/>
      <c r="I75" s="146"/>
      <c r="J75" s="134"/>
      <c r="K75" s="146"/>
      <c r="L75" s="134"/>
      <c r="M75" s="134"/>
      <c r="N75" s="115"/>
      <c r="O75" s="42"/>
      <c r="P75" s="65"/>
      <c r="Q75" s="16"/>
      <c r="R75" s="16"/>
      <c r="S75" s="16"/>
      <c r="T75" s="16"/>
      <c r="U75" s="16"/>
      <c r="V75" s="16"/>
    </row>
    <row r="76" spans="1:22" x14ac:dyDescent="0.2">
      <c r="A76" s="63">
        <v>273.1697998046875</v>
      </c>
      <c r="B76" s="84">
        <v>0.7427277835284084</v>
      </c>
      <c r="C76" s="3">
        <f t="shared" si="0"/>
        <v>0.68710000000000004</v>
      </c>
      <c r="D76" s="3">
        <f t="shared" si="1"/>
        <v>0.50735274778258577</v>
      </c>
      <c r="E76" s="3">
        <f t="shared" si="2"/>
        <v>0.48789320457288932</v>
      </c>
      <c r="F76" s="3">
        <f t="shared" si="3"/>
        <v>2.2296385713271416E-2</v>
      </c>
      <c r="G76" s="3"/>
      <c r="H76" s="24"/>
      <c r="I76" s="146"/>
      <c r="J76" s="134"/>
      <c r="K76" s="146"/>
      <c r="L76" s="134"/>
      <c r="M76" s="134"/>
      <c r="N76" s="115"/>
      <c r="O76" s="42"/>
      <c r="P76" s="65"/>
      <c r="Q76" s="16"/>
      <c r="R76" s="16"/>
      <c r="S76" s="16"/>
      <c r="T76" s="16"/>
      <c r="U76" s="16"/>
      <c r="V76" s="16"/>
    </row>
    <row r="77" spans="1:22" x14ac:dyDescent="0.2">
      <c r="A77" s="63">
        <v>299.19882202148437</v>
      </c>
      <c r="B77" s="84">
        <v>0.77002778352840839</v>
      </c>
      <c r="C77" s="3">
        <f t="shared" si="0"/>
        <v>0.71440000000000003</v>
      </c>
      <c r="D77" s="3">
        <f t="shared" si="1"/>
        <v>0.52600120866103195</v>
      </c>
      <c r="E77" s="3">
        <f t="shared" si="2"/>
        <v>0.50727827877582898</v>
      </c>
      <c r="F77" s="3">
        <f t="shared" si="3"/>
        <v>1.9385074202939667E-2</v>
      </c>
      <c r="G77" s="3"/>
      <c r="H77" s="24"/>
      <c r="I77" s="146"/>
      <c r="J77" s="134"/>
      <c r="K77" s="146"/>
      <c r="L77" s="134"/>
      <c r="M77" s="134"/>
      <c r="N77" s="115"/>
      <c r="O77" s="42"/>
      <c r="P77" s="65"/>
      <c r="Q77" s="16"/>
      <c r="R77" s="16"/>
      <c r="S77" s="16"/>
      <c r="T77" s="16"/>
      <c r="U77" s="16"/>
      <c r="V77" s="16"/>
    </row>
    <row r="78" spans="1:22" x14ac:dyDescent="0.2">
      <c r="A78" s="63">
        <v>327.37091064453125</v>
      </c>
      <c r="B78" s="84">
        <v>0.79672778352840834</v>
      </c>
      <c r="C78" s="3">
        <f t="shared" si="0"/>
        <v>0.74109999999999998</v>
      </c>
      <c r="D78" s="3">
        <f t="shared" si="1"/>
        <v>0.54423981325643545</v>
      </c>
      <c r="E78" s="3">
        <f t="shared" si="2"/>
        <v>0.5262373073918909</v>
      </c>
      <c r="F78" s="3">
        <f t="shared" si="3"/>
        <v>1.8959028616061913E-2</v>
      </c>
      <c r="G78" s="3"/>
      <c r="H78" s="24"/>
      <c r="I78" s="146"/>
      <c r="J78" s="134"/>
      <c r="K78" s="146"/>
      <c r="L78" s="134"/>
      <c r="M78" s="134"/>
      <c r="N78" s="115"/>
      <c r="O78" s="42"/>
      <c r="P78" s="65"/>
      <c r="Q78" s="16"/>
      <c r="R78" s="16"/>
      <c r="S78" s="16"/>
      <c r="T78" s="16"/>
      <c r="U78" s="16"/>
      <c r="V78" s="16"/>
    </row>
    <row r="79" spans="1:22" x14ac:dyDescent="0.2">
      <c r="A79" s="63">
        <v>357.63165283203125</v>
      </c>
      <c r="B79" s="84">
        <v>0.82212778352840832</v>
      </c>
      <c r="C79" s="3">
        <f t="shared" si="0"/>
        <v>0.76649999999999996</v>
      </c>
      <c r="D79" s="3">
        <f t="shared" si="1"/>
        <v>0.56159039590524618</v>
      </c>
      <c r="E79" s="3">
        <f t="shared" si="2"/>
        <v>0.54427323723638421</v>
      </c>
      <c r="F79" s="3">
        <f t="shared" si="3"/>
        <v>1.8035929844493315E-2</v>
      </c>
      <c r="G79" s="3"/>
      <c r="H79" s="24"/>
      <c r="I79" s="146"/>
      <c r="J79" s="134"/>
      <c r="K79" s="146"/>
      <c r="L79" s="134"/>
      <c r="M79" s="134"/>
      <c r="N79" s="115"/>
      <c r="O79" s="42"/>
      <c r="P79" s="65"/>
      <c r="Q79" s="16"/>
      <c r="R79" s="16"/>
      <c r="S79" s="16"/>
      <c r="T79" s="16"/>
      <c r="U79" s="16"/>
      <c r="V79" s="16"/>
    </row>
    <row r="80" spans="1:22" x14ac:dyDescent="0.2">
      <c r="A80" s="63">
        <v>391.69168090820312</v>
      </c>
      <c r="B80" s="84">
        <v>0.84812778352840834</v>
      </c>
      <c r="C80" s="3">
        <f t="shared" si="0"/>
        <v>0.79249999999999998</v>
      </c>
      <c r="D80" s="3">
        <f t="shared" si="1"/>
        <v>0.5793508348370997</v>
      </c>
      <c r="E80" s="3">
        <f t="shared" si="2"/>
        <v>0.56273521266775539</v>
      </c>
      <c r="F80" s="3">
        <f t="shared" si="3"/>
        <v>1.846197543137118E-2</v>
      </c>
      <c r="G80" s="3"/>
      <c r="H80" s="24"/>
      <c r="I80" s="146"/>
      <c r="J80" s="134"/>
      <c r="K80" s="146"/>
      <c r="L80" s="134"/>
      <c r="M80" s="134"/>
      <c r="N80" s="115"/>
      <c r="O80" s="42"/>
      <c r="P80" s="65"/>
      <c r="Q80" s="16"/>
      <c r="R80" s="16"/>
      <c r="S80" s="16"/>
      <c r="T80" s="16"/>
      <c r="U80" s="16"/>
      <c r="V80" s="16"/>
    </row>
    <row r="81" spans="1:22" x14ac:dyDescent="0.2">
      <c r="A81" s="63">
        <v>428.64453125</v>
      </c>
      <c r="B81" s="84">
        <v>0.87342778352840833</v>
      </c>
      <c r="C81" s="3">
        <f t="shared" si="0"/>
        <v>0.81779999999999997</v>
      </c>
      <c r="D81" s="3">
        <f t="shared" si="1"/>
        <v>0.59663310810540326</v>
      </c>
      <c r="E81" s="3">
        <f t="shared" si="2"/>
        <v>0.58070013491443573</v>
      </c>
      <c r="F81" s="3">
        <f t="shared" si="3"/>
        <v>1.7964922246680337E-2</v>
      </c>
      <c r="G81" s="3"/>
      <c r="H81" s="24"/>
      <c r="I81" s="146"/>
      <c r="J81" s="134"/>
      <c r="K81" s="146"/>
      <c r="L81" s="134"/>
      <c r="M81" s="134"/>
      <c r="N81" s="115"/>
      <c r="O81" s="42"/>
      <c r="P81" s="65"/>
      <c r="Q81" s="16"/>
      <c r="R81" s="16"/>
      <c r="S81" s="16"/>
      <c r="T81" s="16"/>
      <c r="U81" s="16"/>
      <c r="V81" s="16"/>
    </row>
    <row r="82" spans="1:22" x14ac:dyDescent="0.2">
      <c r="A82" s="63">
        <v>469.18609619140625</v>
      </c>
      <c r="B82" s="84">
        <v>0.89782778352840831</v>
      </c>
      <c r="C82" s="3">
        <f t="shared" si="0"/>
        <v>0.84219999999999995</v>
      </c>
      <c r="D82" s="3">
        <f t="shared" si="1"/>
        <v>0.61330059694914274</v>
      </c>
      <c r="E82" s="3">
        <f t="shared" si="2"/>
        <v>0.59802598878079949</v>
      </c>
      <c r="F82" s="3">
        <f t="shared" si="3"/>
        <v>1.7325853866363761E-2</v>
      </c>
      <c r="G82" s="3"/>
      <c r="H82" s="24"/>
      <c r="I82" s="146"/>
      <c r="J82" s="134"/>
      <c r="K82" s="146"/>
      <c r="L82" s="134"/>
      <c r="M82" s="134"/>
      <c r="N82" s="115"/>
      <c r="O82" s="42"/>
      <c r="P82" s="65"/>
      <c r="Q82" s="16"/>
      <c r="R82" s="16"/>
      <c r="S82" s="16"/>
      <c r="T82" s="16"/>
      <c r="U82" s="16"/>
      <c r="V82" s="16"/>
    </row>
    <row r="83" spans="1:22" x14ac:dyDescent="0.2">
      <c r="A83" s="63">
        <v>513.0238037109375</v>
      </c>
      <c r="B83" s="84">
        <v>0.92192778352840832</v>
      </c>
      <c r="C83" s="3">
        <f t="shared" si="0"/>
        <v>0.86629999999999996</v>
      </c>
      <c r="D83" s="3">
        <f t="shared" si="1"/>
        <v>0.62976315765136082</v>
      </c>
      <c r="E83" s="3">
        <f t="shared" si="2"/>
        <v>0.61513881985372432</v>
      </c>
      <c r="F83" s="3">
        <f t="shared" si="3"/>
        <v>1.7112831072924828E-2</v>
      </c>
      <c r="G83" s="3"/>
      <c r="H83" s="24"/>
      <c r="I83" s="134"/>
      <c r="J83" s="134"/>
      <c r="K83" s="146"/>
      <c r="L83" s="134"/>
      <c r="M83" s="134"/>
      <c r="N83" s="115"/>
      <c r="O83" s="42"/>
      <c r="P83" s="65"/>
      <c r="Q83" s="16"/>
      <c r="R83" s="16"/>
      <c r="S83" s="16"/>
      <c r="T83" s="16"/>
      <c r="U83" s="16"/>
      <c r="V83" s="16"/>
    </row>
    <row r="84" spans="1:22" x14ac:dyDescent="0.2">
      <c r="A84" s="63">
        <v>561.31060791015625</v>
      </c>
      <c r="B84" s="84">
        <v>0.94562778352840837</v>
      </c>
      <c r="C84" s="3">
        <f t="shared" si="0"/>
        <v>0.89</v>
      </c>
      <c r="D84" s="3">
        <f t="shared" si="1"/>
        <v>0.64595248083155044</v>
      </c>
      <c r="E84" s="3">
        <f t="shared" si="2"/>
        <v>0.63196762053539723</v>
      </c>
      <c r="F84" s="3">
        <f t="shared" si="3"/>
        <v>1.6828800681672917E-2</v>
      </c>
      <c r="G84" s="3"/>
      <c r="H84" s="24"/>
      <c r="I84" s="134"/>
      <c r="J84" s="134"/>
      <c r="K84" s="146"/>
      <c r="L84" s="134"/>
      <c r="M84" s="134"/>
      <c r="N84" s="115"/>
      <c r="O84" s="42"/>
      <c r="P84" s="65"/>
      <c r="Q84" s="16"/>
      <c r="R84" s="16"/>
      <c r="S84" s="16"/>
      <c r="T84" s="16"/>
      <c r="U84" s="16"/>
      <c r="V84" s="16"/>
    </row>
    <row r="85" spans="1:22" x14ac:dyDescent="0.2">
      <c r="A85" s="63">
        <v>613.4918212890625</v>
      </c>
      <c r="B85" s="84">
        <v>0.96822778352840833</v>
      </c>
      <c r="C85" s="3">
        <f t="shared" si="0"/>
        <v>0.91259999999999997</v>
      </c>
      <c r="D85" s="3">
        <f t="shared" si="1"/>
        <v>0.66139040082616163</v>
      </c>
      <c r="E85" s="3">
        <f t="shared" si="2"/>
        <v>0.64801533764112751</v>
      </c>
      <c r="F85" s="3">
        <f t="shared" si="3"/>
        <v>1.6047717105730275E-2</v>
      </c>
      <c r="G85" s="3"/>
      <c r="H85" s="24"/>
      <c r="I85" s="134"/>
      <c r="J85" s="134"/>
      <c r="K85" s="146"/>
      <c r="L85" s="134"/>
      <c r="M85" s="134"/>
      <c r="N85" s="115"/>
      <c r="O85" s="42"/>
      <c r="P85" s="65"/>
      <c r="Q85" s="16"/>
      <c r="R85" s="16"/>
      <c r="S85" s="16"/>
      <c r="T85" s="16"/>
      <c r="U85" s="16"/>
      <c r="V85" s="16"/>
    </row>
    <row r="86" spans="1:22" x14ac:dyDescent="0.2">
      <c r="A86" s="63">
        <v>671.8355712890625</v>
      </c>
      <c r="B86" s="84">
        <v>0.99082778352840839</v>
      </c>
      <c r="C86" s="3">
        <f t="shared" si="0"/>
        <v>0.93520000000000003</v>
      </c>
      <c r="D86" s="3">
        <f t="shared" si="1"/>
        <v>0.67682832082077282</v>
      </c>
      <c r="E86" s="3">
        <f t="shared" si="2"/>
        <v>0.66406305474685789</v>
      </c>
      <c r="F86" s="3">
        <f t="shared" si="3"/>
        <v>1.6047717105730386E-2</v>
      </c>
      <c r="G86" s="3"/>
      <c r="H86" s="24"/>
      <c r="I86" s="134"/>
      <c r="J86" s="134"/>
      <c r="K86" s="146"/>
      <c r="L86" s="134"/>
      <c r="M86" s="134"/>
      <c r="N86" s="115"/>
      <c r="O86" s="42"/>
      <c r="P86" s="65"/>
      <c r="Q86" s="16"/>
      <c r="R86" s="16"/>
      <c r="S86" s="16"/>
      <c r="T86" s="16"/>
      <c r="U86" s="16"/>
      <c r="V86" s="16"/>
    </row>
    <row r="87" spans="1:22" x14ac:dyDescent="0.2">
      <c r="A87" s="63">
        <v>734.88519287109375</v>
      </c>
      <c r="B87" s="84">
        <v>1.0131277835284083</v>
      </c>
      <c r="C87" s="3">
        <f t="shared" si="0"/>
        <v>0.95749999999999991</v>
      </c>
      <c r="D87" s="3">
        <f t="shared" si="1"/>
        <v>0.69206131267386251</v>
      </c>
      <c r="E87" s="3">
        <f t="shared" si="2"/>
        <v>0.67989774905914924</v>
      </c>
      <c r="F87" s="3">
        <f t="shared" si="3"/>
        <v>1.5834694312291342E-2</v>
      </c>
      <c r="G87" s="3"/>
      <c r="H87" s="24"/>
      <c r="I87" s="134"/>
      <c r="J87" s="134"/>
      <c r="K87" s="146"/>
      <c r="L87" s="134"/>
      <c r="M87" s="134"/>
      <c r="N87" s="115"/>
      <c r="O87" s="42"/>
      <c r="P87" s="65"/>
      <c r="Q87" s="16"/>
      <c r="R87" s="16"/>
      <c r="S87" s="16"/>
      <c r="T87" s="16"/>
      <c r="U87" s="16"/>
      <c r="V87" s="16"/>
    </row>
    <row r="88" spans="1:22" x14ac:dyDescent="0.2">
      <c r="A88" s="63">
        <v>804.34393310546875</v>
      </c>
      <c r="B88" s="84">
        <v>1.0345277835284084</v>
      </c>
      <c r="C88" s="3">
        <f t="shared" si="0"/>
        <v>0.97889999999999999</v>
      </c>
      <c r="D88" s="3">
        <f t="shared" si="1"/>
        <v>0.7066795201023881</v>
      </c>
      <c r="E88" s="3">
        <f t="shared" si="2"/>
        <v>0.695093374991124</v>
      </c>
      <c r="F88" s="3">
        <f t="shared" si="3"/>
        <v>1.5195625931974766E-2</v>
      </c>
      <c r="G88" s="3"/>
      <c r="H88" s="24"/>
      <c r="I88" s="134"/>
      <c r="J88" s="134"/>
      <c r="K88" s="146"/>
      <c r="L88" s="134"/>
      <c r="M88" s="134"/>
      <c r="N88" s="115"/>
      <c r="O88" s="42"/>
      <c r="P88" s="65"/>
      <c r="Q88" s="16"/>
      <c r="R88" s="16"/>
      <c r="S88" s="16"/>
      <c r="T88" s="16"/>
      <c r="U88" s="16"/>
      <c r="V88" s="16"/>
    </row>
    <row r="89" spans="1:22" x14ac:dyDescent="0.2">
      <c r="A89" s="63">
        <v>879.191162109375</v>
      </c>
      <c r="B89" s="84">
        <v>1.0550277835284083</v>
      </c>
      <c r="C89" s="3">
        <f t="shared" si="0"/>
        <v>0.99939999999999996</v>
      </c>
      <c r="D89" s="3">
        <f t="shared" si="1"/>
        <v>0.72068294310634951</v>
      </c>
      <c r="E89" s="3">
        <f t="shared" si="2"/>
        <v>0.70964993254278197</v>
      </c>
      <c r="F89" s="3">
        <f t="shared" si="3"/>
        <v>1.4556557551657967E-2</v>
      </c>
      <c r="G89" s="3"/>
      <c r="H89" s="24"/>
      <c r="I89" s="134"/>
      <c r="J89" s="134"/>
      <c r="K89" s="146"/>
      <c r="L89" s="134"/>
      <c r="M89" s="134"/>
      <c r="N89" s="115"/>
      <c r="O89" s="42"/>
      <c r="P89" s="65"/>
      <c r="Q89" s="16"/>
      <c r="R89" s="16"/>
      <c r="S89" s="16"/>
      <c r="T89" s="16"/>
      <c r="U89" s="16"/>
      <c r="V89" s="16"/>
    </row>
    <row r="90" spans="1:22" x14ac:dyDescent="0.2">
      <c r="A90" s="63">
        <v>962.5634765625</v>
      </c>
      <c r="B90" s="84">
        <v>1.0760277835284082</v>
      </c>
      <c r="C90" s="3">
        <f t="shared" si="0"/>
        <v>1.0204</v>
      </c>
      <c r="D90" s="3">
        <f t="shared" si="1"/>
        <v>0.73502791301284653</v>
      </c>
      <c r="E90" s="3">
        <f t="shared" si="2"/>
        <v>0.72456152808350482</v>
      </c>
      <c r="F90" s="3">
        <f t="shared" si="3"/>
        <v>1.4911595540722855E-2</v>
      </c>
      <c r="G90" s="3"/>
      <c r="H90" s="24"/>
      <c r="I90" s="134"/>
      <c r="J90" s="134"/>
      <c r="K90" s="146"/>
      <c r="L90" s="134"/>
      <c r="M90" s="134"/>
      <c r="N90" s="115"/>
      <c r="O90" s="42"/>
      <c r="P90" s="65"/>
      <c r="Q90" s="16"/>
      <c r="R90" s="16"/>
      <c r="S90" s="16"/>
      <c r="T90" s="16"/>
      <c r="U90" s="16"/>
      <c r="V90" s="16"/>
    </row>
    <row r="91" spans="1:22" x14ac:dyDescent="0.2">
      <c r="A91" s="63">
        <v>1048.7110595703125</v>
      </c>
      <c r="B91" s="84">
        <v>1.0948277835284084</v>
      </c>
      <c r="C91" s="3">
        <f t="shared" si="0"/>
        <v>1.0392000000000001</v>
      </c>
      <c r="D91" s="3">
        <f t="shared" si="1"/>
        <v>0.74787007654818694</v>
      </c>
      <c r="E91" s="3">
        <f t="shared" si="2"/>
        <v>0.73791095647234262</v>
      </c>
      <c r="F91" s="3">
        <f t="shared" si="3"/>
        <v>1.3349428388837792E-2</v>
      </c>
      <c r="G91" s="3"/>
      <c r="H91" s="24"/>
      <c r="I91" s="134"/>
      <c r="J91" s="134"/>
      <c r="K91" s="146"/>
      <c r="L91" s="134"/>
      <c r="M91" s="134"/>
      <c r="N91" s="115"/>
      <c r="O91" s="42"/>
      <c r="P91" s="65"/>
      <c r="Q91" s="16"/>
      <c r="R91" s="16"/>
      <c r="S91" s="16"/>
      <c r="T91" s="16"/>
      <c r="U91" s="16"/>
      <c r="V91" s="16"/>
    </row>
    <row r="92" spans="1:22" x14ac:dyDescent="0.2">
      <c r="A92" s="63">
        <v>1148.220458984375</v>
      </c>
      <c r="B92" s="84">
        <v>1.1142277835284085</v>
      </c>
      <c r="C92" s="3">
        <f t="shared" si="0"/>
        <v>1.0586000000000002</v>
      </c>
      <c r="D92" s="3">
        <f t="shared" si="1"/>
        <v>0.76112209636657002</v>
      </c>
      <c r="E92" s="3">
        <f t="shared" si="2"/>
        <v>0.75168643044805805</v>
      </c>
      <c r="F92" s="3">
        <f t="shared" si="3"/>
        <v>1.3775473975715435E-2</v>
      </c>
      <c r="G92" s="3"/>
      <c r="H92" s="24"/>
      <c r="I92" s="134"/>
      <c r="J92" s="134"/>
      <c r="K92" s="134"/>
      <c r="L92" s="134"/>
      <c r="M92" s="134"/>
      <c r="N92" s="115"/>
      <c r="O92" s="42"/>
      <c r="P92" s="65"/>
      <c r="Q92" s="16"/>
      <c r="R92" s="16"/>
      <c r="S92" s="16"/>
      <c r="T92" s="16"/>
      <c r="U92" s="16"/>
      <c r="V92" s="16"/>
    </row>
    <row r="93" spans="1:22" x14ac:dyDescent="0.2">
      <c r="A93" s="63">
        <v>1258.919677734375</v>
      </c>
      <c r="B93" s="84">
        <v>1.1308277835284084</v>
      </c>
      <c r="C93" s="3">
        <f t="shared" si="0"/>
        <v>1.0752000000000002</v>
      </c>
      <c r="D93" s="3">
        <f t="shared" si="1"/>
        <v>0.77246145353075335</v>
      </c>
      <c r="E93" s="3">
        <f t="shared" si="2"/>
        <v>0.76347369168501034</v>
      </c>
      <c r="F93" s="3">
        <f t="shared" si="3"/>
        <v>1.1787261236952284E-2</v>
      </c>
      <c r="G93" s="3"/>
      <c r="H93" s="24"/>
      <c r="I93" s="134"/>
      <c r="J93" s="134"/>
      <c r="K93" s="134"/>
      <c r="L93" s="134"/>
      <c r="M93" s="134"/>
      <c r="N93" s="115"/>
      <c r="O93" s="42"/>
      <c r="P93" s="65"/>
      <c r="Q93" s="16"/>
      <c r="R93" s="16"/>
      <c r="S93" s="16"/>
      <c r="T93" s="16"/>
      <c r="U93" s="16"/>
      <c r="V93" s="16"/>
    </row>
    <row r="94" spans="1:22" x14ac:dyDescent="0.2">
      <c r="A94" s="63">
        <v>1378.8270263671875</v>
      </c>
      <c r="B94" s="84">
        <v>1.1485277835284085</v>
      </c>
      <c r="C94" s="3">
        <f t="shared" si="0"/>
        <v>1.0929000000000002</v>
      </c>
      <c r="D94" s="3">
        <f t="shared" si="1"/>
        <v>0.78455221388051521</v>
      </c>
      <c r="E94" s="3">
        <f t="shared" si="2"/>
        <v>0.77604203649790537</v>
      </c>
      <c r="F94" s="3">
        <f t="shared" si="3"/>
        <v>1.2568344812895038E-2</v>
      </c>
      <c r="G94" s="3"/>
      <c r="H94" s="24"/>
      <c r="I94" s="134"/>
      <c r="J94" s="134"/>
      <c r="K94" s="134"/>
      <c r="L94" s="134"/>
      <c r="M94" s="134"/>
      <c r="N94" s="115"/>
      <c r="O94" s="42"/>
      <c r="P94" s="65"/>
      <c r="Q94" s="16"/>
      <c r="R94" s="16"/>
      <c r="S94" s="16"/>
      <c r="T94" s="16"/>
      <c r="U94" s="16"/>
      <c r="V94" s="16"/>
    </row>
    <row r="95" spans="1:22" x14ac:dyDescent="0.2">
      <c r="A95" s="63">
        <v>1508.72509765625</v>
      </c>
      <c r="B95" s="84">
        <v>1.1652277835284082</v>
      </c>
      <c r="C95" s="3">
        <f t="shared" si="0"/>
        <v>1.1095999999999999</v>
      </c>
      <c r="D95" s="3">
        <f t="shared" si="1"/>
        <v>0.7959598804252056</v>
      </c>
      <c r="E95" s="3">
        <f t="shared" si="2"/>
        <v>0.78790030533267053</v>
      </c>
      <c r="F95" s="3">
        <f t="shared" si="3"/>
        <v>1.1858268834765151E-2</v>
      </c>
      <c r="G95" s="3"/>
      <c r="H95" s="24"/>
      <c r="I95" s="134"/>
      <c r="J95" s="134"/>
      <c r="K95" s="134"/>
      <c r="L95" s="134"/>
      <c r="M95" s="134"/>
      <c r="N95" s="115"/>
      <c r="O95" s="42"/>
      <c r="P95" s="65"/>
      <c r="Q95" s="16"/>
      <c r="R95" s="16"/>
      <c r="S95" s="16"/>
      <c r="T95" s="16"/>
      <c r="U95" s="16"/>
      <c r="V95" s="16"/>
    </row>
    <row r="96" spans="1:22" x14ac:dyDescent="0.2">
      <c r="A96" s="63">
        <v>1646.81640625</v>
      </c>
      <c r="B96" s="84">
        <v>1.1814277835284082</v>
      </c>
      <c r="C96" s="3">
        <f t="shared" si="0"/>
        <v>1.1257999999999999</v>
      </c>
      <c r="D96" s="3">
        <f t="shared" si="1"/>
        <v>0.80702600006736047</v>
      </c>
      <c r="E96" s="3">
        <f t="shared" si="2"/>
        <v>0.79940353617837101</v>
      </c>
      <c r="F96" s="3">
        <f t="shared" si="3"/>
        <v>1.1503230845700485E-2</v>
      </c>
      <c r="G96" s="3"/>
      <c r="H96" s="24"/>
      <c r="I96" s="134"/>
      <c r="J96" s="134"/>
      <c r="K96" s="134"/>
      <c r="L96" s="134"/>
      <c r="M96" s="134"/>
      <c r="N96" s="115"/>
      <c r="O96" s="42"/>
      <c r="P96" s="65"/>
      <c r="Q96" s="16"/>
      <c r="R96" s="16"/>
      <c r="S96" s="16"/>
      <c r="T96" s="16"/>
      <c r="U96" s="16"/>
      <c r="V96" s="16"/>
    </row>
    <row r="97" spans="1:22" x14ac:dyDescent="0.2">
      <c r="A97" s="63">
        <v>1809.461669921875</v>
      </c>
      <c r="B97" s="84">
        <v>1.1971277835284084</v>
      </c>
      <c r="C97" s="3">
        <f t="shared" si="0"/>
        <v>1.1415000000000002</v>
      </c>
      <c r="D97" s="3">
        <f t="shared" si="1"/>
        <v>0.81775057280697994</v>
      </c>
      <c r="E97" s="3">
        <f t="shared" si="2"/>
        <v>0.81055172903500683</v>
      </c>
      <c r="F97" s="3">
        <f t="shared" si="3"/>
        <v>1.1148192856635819E-2</v>
      </c>
      <c r="G97" s="3"/>
      <c r="H97" s="24"/>
      <c r="I97" s="134"/>
      <c r="J97" s="134"/>
      <c r="K97" s="134"/>
      <c r="L97" s="134"/>
      <c r="M97" s="134"/>
      <c r="N97" s="115"/>
      <c r="O97" s="42"/>
      <c r="P97" s="65"/>
      <c r="Q97" s="16"/>
      <c r="R97" s="16"/>
      <c r="S97" s="16"/>
      <c r="T97" s="16"/>
      <c r="U97" s="16"/>
      <c r="V97" s="16"/>
    </row>
    <row r="98" spans="1:22" x14ac:dyDescent="0.2">
      <c r="A98" s="63">
        <v>1977.94140625</v>
      </c>
      <c r="B98" s="84">
        <v>1.2117277835284082</v>
      </c>
      <c r="C98" s="3">
        <f t="shared" si="0"/>
        <v>1.1560999999999999</v>
      </c>
      <c r="D98" s="3">
        <f t="shared" si="1"/>
        <v>0.82772374236102053</v>
      </c>
      <c r="E98" s="3">
        <f t="shared" si="2"/>
        <v>0.82091883831569967</v>
      </c>
      <c r="F98" s="3">
        <f t="shared" si="3"/>
        <v>1.0367109280692843E-2</v>
      </c>
      <c r="G98" s="3"/>
      <c r="H98" s="24"/>
      <c r="I98" s="134"/>
      <c r="J98" s="134"/>
      <c r="K98" s="134"/>
      <c r="L98" s="134"/>
      <c r="M98" s="134"/>
      <c r="N98" s="115"/>
      <c r="O98" s="42"/>
      <c r="P98" s="65"/>
      <c r="Q98" s="16"/>
      <c r="R98" s="16"/>
      <c r="S98" s="16"/>
      <c r="T98" s="16"/>
      <c r="U98" s="16"/>
      <c r="V98" s="16"/>
    </row>
    <row r="99" spans="1:22" x14ac:dyDescent="0.2">
      <c r="A99" s="63">
        <v>2157.510009765625</v>
      </c>
      <c r="B99" s="84">
        <v>1.2259277835284084</v>
      </c>
      <c r="C99" s="3">
        <f t="shared" si="0"/>
        <v>1.1703000000000001</v>
      </c>
      <c r="D99" s="3">
        <f t="shared" si="1"/>
        <v>0.837423674393033</v>
      </c>
      <c r="E99" s="3">
        <f t="shared" si="2"/>
        <v>0.83100191720514094</v>
      </c>
      <c r="F99" s="3">
        <f t="shared" si="3"/>
        <v>1.0083078889441266E-2</v>
      </c>
      <c r="G99" s="3"/>
      <c r="H99" s="24"/>
      <c r="I99" s="134"/>
      <c r="J99" s="134"/>
      <c r="K99" s="134"/>
      <c r="L99" s="134"/>
      <c r="M99" s="134"/>
      <c r="N99" s="115"/>
      <c r="O99" s="42"/>
      <c r="P99" s="65"/>
      <c r="Q99" s="16"/>
      <c r="R99" s="16"/>
      <c r="S99" s="16"/>
      <c r="T99" s="16"/>
      <c r="U99" s="16"/>
      <c r="V99" s="16"/>
    </row>
    <row r="100" spans="1:22" x14ac:dyDescent="0.2">
      <c r="A100" s="63">
        <v>2367.6796875</v>
      </c>
      <c r="B100" s="84">
        <v>1.2399277835284082</v>
      </c>
      <c r="C100" s="3">
        <f t="shared" si="0"/>
        <v>1.1842999999999999</v>
      </c>
      <c r="D100" s="3">
        <f t="shared" si="1"/>
        <v>0.84698698766403091</v>
      </c>
      <c r="E100" s="3">
        <f t="shared" si="2"/>
        <v>0.84094298089895603</v>
      </c>
      <c r="F100" s="3">
        <f t="shared" si="3"/>
        <v>9.9410636938150887E-3</v>
      </c>
      <c r="G100" s="3"/>
      <c r="H100" s="24"/>
      <c r="I100" s="134"/>
      <c r="J100" s="134"/>
      <c r="K100" s="134"/>
      <c r="L100" s="134"/>
      <c r="M100" s="134"/>
      <c r="N100" s="115"/>
      <c r="O100" s="42"/>
      <c r="P100" s="65"/>
      <c r="Q100" s="16"/>
      <c r="R100" s="16"/>
      <c r="S100" s="16"/>
      <c r="T100" s="16"/>
      <c r="U100" s="16"/>
      <c r="V100" s="16"/>
    </row>
    <row r="101" spans="1:22" x14ac:dyDescent="0.2">
      <c r="A101" s="63">
        <v>2587.6376953125</v>
      </c>
      <c r="B101" s="84">
        <v>1.2533277835284085</v>
      </c>
      <c r="C101" s="3">
        <f t="shared" si="0"/>
        <v>1.1977000000000002</v>
      </c>
      <c r="D101" s="3">
        <f t="shared" si="1"/>
        <v>0.85614044465198647</v>
      </c>
      <c r="E101" s="3">
        <f t="shared" si="2"/>
        <v>0.85045799900589369</v>
      </c>
      <c r="F101" s="3">
        <f t="shared" si="3"/>
        <v>9.5150181069376671E-3</v>
      </c>
      <c r="G101" s="3"/>
      <c r="H101" s="24"/>
      <c r="I101" s="134"/>
      <c r="J101" s="134"/>
      <c r="K101" s="134"/>
      <c r="L101" s="134"/>
      <c r="M101" s="134"/>
      <c r="N101" s="115"/>
      <c r="O101" s="42"/>
      <c r="P101" s="65"/>
      <c r="Q101" s="16"/>
      <c r="R101" s="16"/>
      <c r="S101" s="16"/>
      <c r="T101" s="16"/>
      <c r="U101" s="16"/>
      <c r="V101" s="16"/>
    </row>
    <row r="102" spans="1:22" x14ac:dyDescent="0.2">
      <c r="A102" s="63">
        <v>2827.42529296875</v>
      </c>
      <c r="B102" s="84">
        <v>1.2658277835284082</v>
      </c>
      <c r="C102" s="3">
        <f t="shared" si="0"/>
        <v>1.2101999999999999</v>
      </c>
      <c r="D102" s="3">
        <f t="shared" si="1"/>
        <v>0.86467911721537738</v>
      </c>
      <c r="E102" s="3">
        <f t="shared" si="2"/>
        <v>0.85933394873251423</v>
      </c>
      <c r="F102" s="3">
        <f t="shared" si="3"/>
        <v>8.8759497266205356E-3</v>
      </c>
      <c r="G102" s="3"/>
      <c r="H102" s="24"/>
      <c r="I102" s="134"/>
      <c r="J102" s="134"/>
      <c r="K102" s="134"/>
      <c r="L102" s="134"/>
      <c r="M102" s="134"/>
      <c r="N102" s="115"/>
      <c r="O102" s="42"/>
      <c r="P102" s="65"/>
      <c r="Q102" s="16"/>
      <c r="R102" s="16"/>
      <c r="S102" s="16"/>
      <c r="T102" s="16"/>
      <c r="U102" s="16"/>
      <c r="V102" s="16"/>
    </row>
    <row r="103" spans="1:22" x14ac:dyDescent="0.2">
      <c r="A103" s="63">
        <v>3097.25341796875</v>
      </c>
      <c r="B103" s="84">
        <v>1.2788277835284085</v>
      </c>
      <c r="C103" s="3">
        <f t="shared" si="0"/>
        <v>1.2232000000000003</v>
      </c>
      <c r="D103" s="3">
        <f t="shared" si="1"/>
        <v>0.87355933668130437</v>
      </c>
      <c r="E103" s="3">
        <f t="shared" si="2"/>
        <v>0.8685649364482001</v>
      </c>
      <c r="F103" s="3">
        <f t="shared" si="3"/>
        <v>9.2309877156858677E-3</v>
      </c>
      <c r="G103" s="3"/>
      <c r="H103" s="24"/>
      <c r="I103" s="134"/>
      <c r="J103" s="134"/>
      <c r="K103" s="134"/>
      <c r="L103" s="134"/>
      <c r="M103" s="134"/>
      <c r="N103" s="115"/>
      <c r="O103" s="42"/>
      <c r="P103" s="65"/>
      <c r="Q103" s="16"/>
      <c r="R103" s="16"/>
      <c r="S103" s="16"/>
      <c r="T103" s="16"/>
      <c r="U103" s="16"/>
      <c r="V103" s="16"/>
    </row>
    <row r="104" spans="1:22" x14ac:dyDescent="0.2">
      <c r="A104" s="63">
        <v>3385.676513671875</v>
      </c>
      <c r="B104" s="84">
        <v>1.2911277835284083</v>
      </c>
      <c r="C104" s="3">
        <f t="shared" si="0"/>
        <v>1.2355</v>
      </c>
      <c r="D104" s="3">
        <f t="shared" si="1"/>
        <v>0.88196139048368105</v>
      </c>
      <c r="E104" s="3">
        <f t="shared" si="2"/>
        <v>0.87729887097919479</v>
      </c>
      <c r="F104" s="3">
        <f t="shared" si="3"/>
        <v>8.7339345309946914E-3</v>
      </c>
      <c r="G104" s="3"/>
      <c r="H104" s="24"/>
      <c r="I104" s="134"/>
      <c r="J104" s="134"/>
      <c r="K104" s="134"/>
      <c r="L104" s="134"/>
      <c r="M104" s="134"/>
      <c r="N104" s="115"/>
      <c r="O104" s="42"/>
      <c r="P104" s="65"/>
      <c r="Q104" s="16"/>
      <c r="R104" s="16"/>
      <c r="S104" s="16"/>
      <c r="T104" s="16"/>
      <c r="U104" s="16"/>
      <c r="V104" s="16"/>
    </row>
    <row r="105" spans="1:22" x14ac:dyDescent="0.2">
      <c r="A105" s="63">
        <v>3706.512451171875</v>
      </c>
      <c r="B105" s="84">
        <v>1.3031277835284083</v>
      </c>
      <c r="C105" s="3">
        <f t="shared" si="0"/>
        <v>1.2475000000000001</v>
      </c>
      <c r="D105" s="3">
        <f t="shared" si="1"/>
        <v>0.89015851614453656</v>
      </c>
      <c r="E105" s="3">
        <f t="shared" si="2"/>
        <v>0.88581978271675066</v>
      </c>
      <c r="F105" s="3">
        <f t="shared" si="3"/>
        <v>8.5209117375558696E-3</v>
      </c>
      <c r="G105" s="3"/>
      <c r="H105" s="24"/>
      <c r="I105" s="134"/>
      <c r="J105" s="134"/>
      <c r="K105" s="134"/>
      <c r="L105" s="134"/>
      <c r="M105" s="134"/>
      <c r="N105" s="115"/>
      <c r="O105" s="42"/>
      <c r="P105" s="65"/>
      <c r="Q105" s="16"/>
      <c r="R105" s="16"/>
      <c r="S105" s="16"/>
      <c r="T105" s="16"/>
      <c r="U105" s="16"/>
      <c r="V105" s="16"/>
    </row>
    <row r="106" spans="1:22" x14ac:dyDescent="0.2">
      <c r="A106" s="63">
        <v>4056.633544921875</v>
      </c>
      <c r="B106" s="84">
        <v>1.3146277835284081</v>
      </c>
      <c r="C106" s="3">
        <f t="shared" si="0"/>
        <v>1.2589999999999999</v>
      </c>
      <c r="D106" s="3">
        <f t="shared" si="1"/>
        <v>0.89801409490285633</v>
      </c>
      <c r="E106" s="3">
        <f t="shared" si="2"/>
        <v>0.89398565646524164</v>
      </c>
      <c r="F106" s="3">
        <f t="shared" si="3"/>
        <v>8.1658737484909816E-3</v>
      </c>
      <c r="G106" s="3"/>
      <c r="H106" s="24"/>
      <c r="I106" s="134"/>
      <c r="J106" s="134"/>
      <c r="K106" s="134"/>
      <c r="L106" s="134"/>
      <c r="M106" s="134"/>
      <c r="N106" s="115"/>
      <c r="O106" s="42"/>
      <c r="P106" s="65"/>
      <c r="Q106" s="16"/>
      <c r="R106" s="16"/>
      <c r="S106" s="16"/>
      <c r="T106" s="16"/>
      <c r="U106" s="16"/>
      <c r="V106" s="16"/>
    </row>
    <row r="107" spans="1:22" x14ac:dyDescent="0.2">
      <c r="A107" s="63">
        <v>4435.4072265625</v>
      </c>
      <c r="B107" s="84">
        <v>1.3265277835284084</v>
      </c>
      <c r="C107" s="3">
        <f t="shared" si="0"/>
        <v>1.2709000000000001</v>
      </c>
      <c r="D107" s="3">
        <f t="shared" si="1"/>
        <v>0.90614291118320478</v>
      </c>
      <c r="E107" s="3">
        <f t="shared" si="2"/>
        <v>0.90243556060498475</v>
      </c>
      <c r="F107" s="3">
        <f t="shared" si="3"/>
        <v>8.4499041397431141E-3</v>
      </c>
      <c r="G107" s="3"/>
      <c r="H107" s="24"/>
      <c r="I107" s="134"/>
      <c r="J107" s="134"/>
      <c r="K107" s="134"/>
      <c r="L107" s="134"/>
      <c r="M107" s="134"/>
      <c r="N107" s="115"/>
      <c r="O107" s="42"/>
      <c r="P107" s="65"/>
      <c r="Q107" s="16"/>
      <c r="R107" s="16"/>
      <c r="S107" s="16"/>
      <c r="T107" s="16"/>
      <c r="U107" s="16"/>
      <c r="V107" s="16"/>
    </row>
    <row r="108" spans="1:22" x14ac:dyDescent="0.2">
      <c r="A108" s="63">
        <v>4846.27099609375</v>
      </c>
      <c r="B108" s="84">
        <v>1.3377277835284085</v>
      </c>
      <c r="C108" s="3">
        <f t="shared" si="0"/>
        <v>1.2821000000000002</v>
      </c>
      <c r="D108" s="3">
        <f t="shared" si="1"/>
        <v>0.91379356180000326</v>
      </c>
      <c r="E108" s="3">
        <f t="shared" si="2"/>
        <v>0.91038841156003703</v>
      </c>
      <c r="F108" s="3">
        <f t="shared" si="3"/>
        <v>7.9528509550522708E-3</v>
      </c>
      <c r="G108" s="3"/>
      <c r="H108" s="24"/>
      <c r="I108" s="134"/>
      <c r="J108" s="134"/>
      <c r="K108" s="134"/>
      <c r="L108" s="134"/>
      <c r="M108" s="134"/>
      <c r="N108" s="115"/>
      <c r="O108" s="42"/>
      <c r="P108" s="65"/>
      <c r="Q108" s="16"/>
      <c r="R108" s="16"/>
      <c r="S108" s="16"/>
      <c r="T108" s="16"/>
      <c r="U108" s="16"/>
      <c r="V108" s="16"/>
    </row>
    <row r="109" spans="1:22" x14ac:dyDescent="0.2">
      <c r="A109" s="63">
        <v>5304.39208984375</v>
      </c>
      <c r="B109" s="84">
        <v>1.3475277835284083</v>
      </c>
      <c r="C109" s="3">
        <f t="shared" si="0"/>
        <v>1.2919</v>
      </c>
      <c r="D109" s="3">
        <f t="shared" si="1"/>
        <v>0.92048788108970181</v>
      </c>
      <c r="E109" s="3">
        <f t="shared" si="2"/>
        <v>0.91734715614570761</v>
      </c>
      <c r="F109" s="3">
        <f t="shared" si="3"/>
        <v>6.9587445856705843E-3</v>
      </c>
      <c r="G109" s="3"/>
      <c r="H109" s="24"/>
      <c r="I109" s="134"/>
      <c r="J109" s="134"/>
      <c r="K109" s="134"/>
      <c r="L109" s="134"/>
      <c r="M109" s="134"/>
      <c r="N109" s="115"/>
      <c r="O109" s="42"/>
      <c r="P109" s="65"/>
      <c r="Q109" s="16"/>
      <c r="R109" s="16"/>
      <c r="S109" s="16"/>
      <c r="T109" s="16"/>
      <c r="U109" s="16"/>
      <c r="V109" s="16"/>
    </row>
    <row r="110" spans="1:22" x14ac:dyDescent="0.2">
      <c r="A110" s="63">
        <v>5802.82958984375</v>
      </c>
      <c r="B110" s="84">
        <v>1.3569277835284081</v>
      </c>
      <c r="C110" s="3">
        <f t="shared" si="0"/>
        <v>1.3012999999999999</v>
      </c>
      <c r="D110" s="3">
        <f t="shared" si="1"/>
        <v>0.9269089628573719</v>
      </c>
      <c r="E110" s="3">
        <f t="shared" si="2"/>
        <v>0.92402187034012628</v>
      </c>
      <c r="F110" s="3">
        <f t="shared" si="3"/>
        <v>6.6747141944186739E-3</v>
      </c>
      <c r="G110" s="3"/>
      <c r="H110" s="24"/>
      <c r="I110" s="134"/>
      <c r="J110" s="134"/>
      <c r="K110" s="134"/>
      <c r="L110" s="134"/>
      <c r="M110" s="134"/>
      <c r="N110" s="115"/>
      <c r="O110" s="42"/>
      <c r="P110" s="65"/>
      <c r="Q110" s="16"/>
      <c r="R110" s="16"/>
      <c r="S110" s="16"/>
      <c r="T110" s="16"/>
      <c r="U110" s="16"/>
      <c r="V110" s="16"/>
    </row>
    <row r="111" spans="1:22" x14ac:dyDescent="0.2">
      <c r="A111" s="63">
        <v>6354.45751953125</v>
      </c>
      <c r="B111" s="84">
        <v>1.3670277835284081</v>
      </c>
      <c r="C111" s="3">
        <f t="shared" si="0"/>
        <v>1.3113999999999999</v>
      </c>
      <c r="D111" s="3">
        <f t="shared" si="1"/>
        <v>0.93380821028859184</v>
      </c>
      <c r="E111" s="3">
        <f t="shared" si="2"/>
        <v>0.9311936377192358</v>
      </c>
      <c r="F111" s="3">
        <f t="shared" si="3"/>
        <v>7.1717673791095171E-3</v>
      </c>
      <c r="G111" s="3"/>
      <c r="H111" s="24"/>
      <c r="I111" s="134"/>
      <c r="J111" s="134"/>
      <c r="K111" s="134"/>
      <c r="L111" s="134"/>
      <c r="M111" s="134"/>
      <c r="N111" s="115"/>
      <c r="O111" s="42"/>
      <c r="P111" s="65"/>
      <c r="Q111" s="16"/>
      <c r="R111" s="16"/>
      <c r="S111" s="16"/>
      <c r="T111" s="16"/>
      <c r="U111" s="16"/>
      <c r="V111" s="16"/>
    </row>
    <row r="112" spans="1:22" x14ac:dyDescent="0.2">
      <c r="A112" s="63">
        <v>6942.32373046875</v>
      </c>
      <c r="B112" s="84">
        <v>1.3755277835284083</v>
      </c>
      <c r="C112" s="3">
        <f t="shared" si="0"/>
        <v>1.3199000000000001</v>
      </c>
      <c r="D112" s="3">
        <f t="shared" si="1"/>
        <v>0.93961450763169796</v>
      </c>
      <c r="E112" s="3">
        <f t="shared" si="2"/>
        <v>0.93722928353333801</v>
      </c>
      <c r="F112" s="3">
        <f t="shared" si="3"/>
        <v>6.0356458141022085E-3</v>
      </c>
      <c r="G112" s="3"/>
      <c r="H112" s="24"/>
      <c r="I112" s="134"/>
      <c r="J112" s="134"/>
      <c r="K112" s="134"/>
      <c r="L112" s="134"/>
      <c r="M112" s="134"/>
      <c r="N112" s="115"/>
      <c r="O112" s="42"/>
      <c r="P112" s="65"/>
      <c r="Q112" s="16"/>
      <c r="R112" s="16"/>
      <c r="S112" s="16"/>
      <c r="T112" s="16"/>
      <c r="U112" s="16"/>
      <c r="V112" s="16"/>
    </row>
    <row r="113" spans="1:22" x14ac:dyDescent="0.2">
      <c r="A113" s="63">
        <v>7602.279296875</v>
      </c>
      <c r="B113" s="84">
        <v>1.3845277835284082</v>
      </c>
      <c r="C113" s="3">
        <f t="shared" si="0"/>
        <v>1.3289</v>
      </c>
      <c r="D113" s="3">
        <f t="shared" si="1"/>
        <v>0.94576235187733948</v>
      </c>
      <c r="E113" s="3">
        <f t="shared" si="2"/>
        <v>0.94361996733650488</v>
      </c>
      <c r="F113" s="3">
        <f t="shared" si="3"/>
        <v>6.3906838031668745E-3</v>
      </c>
      <c r="G113" s="3"/>
      <c r="H113" s="24"/>
      <c r="I113" s="134"/>
      <c r="J113" s="134"/>
      <c r="K113" s="134"/>
      <c r="L113" s="134"/>
      <c r="M113" s="134"/>
      <c r="N113" s="115"/>
      <c r="O113" s="42"/>
      <c r="P113" s="65"/>
      <c r="Q113" s="16"/>
      <c r="R113" s="16"/>
      <c r="S113" s="16"/>
      <c r="T113" s="16"/>
      <c r="U113" s="16"/>
      <c r="V113" s="16"/>
    </row>
    <row r="114" spans="1:22" x14ac:dyDescent="0.2">
      <c r="A114" s="63">
        <v>8312.2763671875</v>
      </c>
      <c r="B114" s="84">
        <v>1.3923277835284082</v>
      </c>
      <c r="C114" s="3">
        <f t="shared" si="0"/>
        <v>1.3367</v>
      </c>
      <c r="D114" s="3">
        <f t="shared" si="1"/>
        <v>0.95109048355689563</v>
      </c>
      <c r="E114" s="3">
        <f t="shared" si="2"/>
        <v>0.94915855996591625</v>
      </c>
      <c r="F114" s="3">
        <f t="shared" si="3"/>
        <v>5.5385926294113652E-3</v>
      </c>
      <c r="G114" s="3"/>
      <c r="H114" s="24"/>
      <c r="I114" s="134"/>
      <c r="J114" s="134"/>
      <c r="K114" s="134"/>
      <c r="L114" s="134"/>
      <c r="M114" s="134"/>
      <c r="N114" s="115"/>
      <c r="O114" s="42"/>
      <c r="P114" s="65"/>
      <c r="Q114" s="16"/>
      <c r="R114" s="16"/>
      <c r="S114" s="16"/>
      <c r="T114" s="16"/>
      <c r="U114" s="16"/>
      <c r="V114" s="16"/>
    </row>
    <row r="115" spans="1:22" x14ac:dyDescent="0.2">
      <c r="A115" s="63">
        <v>9092.6796875</v>
      </c>
      <c r="B115" s="84">
        <v>1.3997277835284083</v>
      </c>
      <c r="C115" s="3">
        <f t="shared" si="0"/>
        <v>1.3441000000000001</v>
      </c>
      <c r="D115" s="3">
        <f t="shared" si="1"/>
        <v>0.95614537771442321</v>
      </c>
      <c r="E115" s="3">
        <f t="shared" si="2"/>
        <v>0.95441312220407581</v>
      </c>
      <c r="F115" s="3">
        <f t="shared" si="3"/>
        <v>5.2545622381595658E-3</v>
      </c>
      <c r="G115" s="3"/>
      <c r="H115" s="24"/>
      <c r="I115" s="134"/>
      <c r="J115" s="134"/>
      <c r="K115" s="134"/>
      <c r="L115" s="134"/>
      <c r="M115" s="134"/>
      <c r="N115" s="115"/>
      <c r="O115" s="42"/>
      <c r="P115" s="65"/>
      <c r="Q115" s="16"/>
      <c r="R115" s="16"/>
      <c r="S115" s="16"/>
      <c r="T115" s="16"/>
      <c r="U115" s="16"/>
      <c r="V115" s="16"/>
    </row>
    <row r="116" spans="1:22" x14ac:dyDescent="0.2">
      <c r="A116" s="63">
        <v>9952.1494140625</v>
      </c>
      <c r="B116" s="84">
        <v>1.4074277835284081</v>
      </c>
      <c r="C116" s="3">
        <f t="shared" si="0"/>
        <v>1.3517999999999999</v>
      </c>
      <c r="D116" s="3">
        <f t="shared" si="1"/>
        <v>0.96140520001347196</v>
      </c>
      <c r="E116" s="3">
        <f t="shared" si="2"/>
        <v>0.95988070723567409</v>
      </c>
      <c r="F116" s="3">
        <f t="shared" si="3"/>
        <v>5.4675850315982766E-3</v>
      </c>
      <c r="G116" s="3"/>
      <c r="H116" s="24"/>
      <c r="I116" s="134"/>
      <c r="J116" s="134"/>
      <c r="K116" s="134"/>
      <c r="L116" s="134"/>
      <c r="M116" s="134"/>
      <c r="N116" s="115"/>
      <c r="O116" s="42"/>
      <c r="P116" s="65"/>
      <c r="Q116" s="16"/>
      <c r="R116" s="16"/>
      <c r="S116" s="16"/>
      <c r="T116" s="16"/>
      <c r="U116" s="16"/>
      <c r="V116" s="16"/>
    </row>
    <row r="117" spans="1:22" x14ac:dyDescent="0.2">
      <c r="A117" s="63">
        <v>10890.7373046875</v>
      </c>
      <c r="B117" s="84">
        <v>1.4141277835284085</v>
      </c>
      <c r="C117" s="3">
        <f t="shared" si="0"/>
        <v>1.3585000000000003</v>
      </c>
      <c r="D117" s="3">
        <f t="shared" si="1"/>
        <v>0.96598192850744991</v>
      </c>
      <c r="E117" s="3">
        <f t="shared" si="2"/>
        <v>0.96463821628914304</v>
      </c>
      <c r="F117" s="3">
        <f t="shared" si="3"/>
        <v>4.7575090534689446E-3</v>
      </c>
      <c r="G117" s="3"/>
      <c r="H117" s="24"/>
      <c r="I117" s="134"/>
      <c r="J117" s="134"/>
      <c r="K117" s="134"/>
      <c r="L117" s="134"/>
      <c r="M117" s="134"/>
      <c r="N117" s="115"/>
      <c r="O117" s="42"/>
      <c r="P117" s="65"/>
      <c r="Q117" s="16"/>
      <c r="R117" s="16"/>
      <c r="S117" s="16"/>
      <c r="T117" s="16"/>
      <c r="U117" s="16"/>
      <c r="V117" s="16"/>
    </row>
    <row r="118" spans="1:22" x14ac:dyDescent="0.2">
      <c r="A118" s="63">
        <v>11893.5537109375</v>
      </c>
      <c r="B118" s="84">
        <v>1.4203277835284083</v>
      </c>
      <c r="C118" s="3">
        <f t="shared" si="0"/>
        <v>1.3647</v>
      </c>
      <c r="D118" s="3">
        <f t="shared" si="1"/>
        <v>0.97021711009889167</v>
      </c>
      <c r="E118" s="3">
        <f t="shared" si="2"/>
        <v>0.96904068735354676</v>
      </c>
      <c r="F118" s="3">
        <f t="shared" si="3"/>
        <v>4.4024710644037235E-3</v>
      </c>
      <c r="G118" s="3"/>
      <c r="H118" s="24"/>
      <c r="I118" s="134"/>
      <c r="J118" s="134"/>
      <c r="K118" s="134"/>
      <c r="L118" s="134"/>
      <c r="M118" s="134"/>
      <c r="N118" s="115"/>
      <c r="O118" s="42"/>
      <c r="P118" s="65"/>
      <c r="Q118" s="16"/>
      <c r="R118" s="16"/>
      <c r="S118" s="16"/>
      <c r="T118" s="16"/>
      <c r="U118" s="16"/>
      <c r="V118" s="16"/>
    </row>
    <row r="119" spans="1:22" x14ac:dyDescent="0.2">
      <c r="A119" s="63">
        <v>12993.28515625</v>
      </c>
      <c r="B119" s="84">
        <v>1.4267277835284085</v>
      </c>
      <c r="C119" s="3">
        <f t="shared" si="0"/>
        <v>1.3711000000000002</v>
      </c>
      <c r="D119" s="3">
        <f t="shared" si="1"/>
        <v>0.9745889104513481</v>
      </c>
      <c r="E119" s="3">
        <f t="shared" si="2"/>
        <v>0.97358517361357677</v>
      </c>
      <c r="F119" s="3">
        <f t="shared" si="3"/>
        <v>4.5444862600300118E-3</v>
      </c>
      <c r="G119" s="3"/>
      <c r="H119" s="24"/>
      <c r="I119" s="134"/>
      <c r="J119" s="134"/>
      <c r="K119" s="134"/>
      <c r="L119" s="134"/>
      <c r="M119" s="134"/>
      <c r="N119" s="115"/>
      <c r="O119" s="42"/>
      <c r="P119" s="65"/>
      <c r="Q119" s="16"/>
      <c r="R119" s="16"/>
      <c r="S119" s="16"/>
      <c r="T119" s="16"/>
      <c r="U119" s="16"/>
      <c r="V119" s="16"/>
    </row>
    <row r="120" spans="1:22" x14ac:dyDescent="0.2">
      <c r="A120" s="63">
        <v>14291.5283203125</v>
      </c>
      <c r="B120" s="84">
        <v>1.4322277835284085</v>
      </c>
      <c r="C120" s="3">
        <f t="shared" si="0"/>
        <v>1.3766000000000003</v>
      </c>
      <c r="D120" s="3">
        <f t="shared" si="1"/>
        <v>0.97834592637924023</v>
      </c>
      <c r="E120" s="3">
        <f t="shared" si="2"/>
        <v>0.97749059149328987</v>
      </c>
      <c r="F120" s="3">
        <f t="shared" si="3"/>
        <v>3.9054178797131023E-3</v>
      </c>
      <c r="G120" s="3"/>
      <c r="H120" s="24"/>
      <c r="I120" s="134"/>
      <c r="J120" s="134"/>
      <c r="K120" s="134"/>
      <c r="L120" s="134"/>
      <c r="M120" s="134"/>
      <c r="N120" s="115"/>
      <c r="O120" s="42"/>
      <c r="P120" s="65"/>
      <c r="Q120" s="16"/>
      <c r="R120" s="16"/>
      <c r="S120" s="16"/>
      <c r="T120" s="16"/>
      <c r="U120" s="16"/>
      <c r="V120" s="16"/>
    </row>
    <row r="121" spans="1:22" x14ac:dyDescent="0.2">
      <c r="A121" s="63">
        <v>15592.9521484375</v>
      </c>
      <c r="B121" s="84">
        <v>1.4373277835284082</v>
      </c>
      <c r="C121" s="3">
        <f t="shared" si="0"/>
        <v>1.3816999999999999</v>
      </c>
      <c r="D121" s="3">
        <f t="shared" si="1"/>
        <v>0.98182970478510356</v>
      </c>
      <c r="E121" s="3">
        <f t="shared" si="2"/>
        <v>0.98111197898175095</v>
      </c>
      <c r="F121" s="3">
        <f t="shared" si="3"/>
        <v>3.6213874884610808E-3</v>
      </c>
      <c r="G121" s="3"/>
      <c r="H121" s="24"/>
      <c r="I121" s="134"/>
      <c r="J121" s="134"/>
      <c r="K121" s="134"/>
      <c r="L121" s="134"/>
      <c r="M121" s="134"/>
      <c r="N121" s="115"/>
      <c r="O121" s="42"/>
      <c r="P121" s="65"/>
      <c r="Q121" s="16"/>
      <c r="R121" s="16"/>
      <c r="S121" s="16"/>
      <c r="T121" s="16"/>
      <c r="U121" s="16"/>
      <c r="V121" s="16"/>
    </row>
    <row r="122" spans="1:22" x14ac:dyDescent="0.2">
      <c r="A122" s="63">
        <v>17093.080078125</v>
      </c>
      <c r="B122" s="84">
        <v>1.4408277835284085</v>
      </c>
      <c r="C122" s="3">
        <f t="shared" si="0"/>
        <v>1.3852000000000002</v>
      </c>
      <c r="D122" s="3">
        <f t="shared" si="1"/>
        <v>0.98422053310285329</v>
      </c>
      <c r="E122" s="3">
        <f t="shared" si="2"/>
        <v>0.98359724490520495</v>
      </c>
      <c r="F122" s="3">
        <f t="shared" si="3"/>
        <v>2.4852659234539942E-3</v>
      </c>
      <c r="G122" s="3"/>
      <c r="H122" s="24"/>
      <c r="I122" s="134"/>
      <c r="J122" s="134"/>
      <c r="K122" s="134"/>
      <c r="L122" s="134"/>
      <c r="M122" s="134"/>
      <c r="N122" s="115"/>
      <c r="O122" s="42"/>
      <c r="P122" s="65"/>
      <c r="Q122" s="16"/>
      <c r="R122" s="16"/>
      <c r="S122" s="16"/>
      <c r="T122" s="16"/>
      <c r="U122" s="16"/>
      <c r="V122" s="16"/>
    </row>
    <row r="123" spans="1:22" x14ac:dyDescent="0.2">
      <c r="A123" s="63">
        <v>18689.7109375</v>
      </c>
      <c r="B123" s="84">
        <v>1.4435277835284084</v>
      </c>
      <c r="C123" s="3">
        <f t="shared" si="0"/>
        <v>1.3879000000000001</v>
      </c>
      <c r="D123" s="3">
        <f t="shared" si="1"/>
        <v>0.98606488637654566</v>
      </c>
      <c r="E123" s="3">
        <f t="shared" si="2"/>
        <v>0.98551445004615501</v>
      </c>
      <c r="F123" s="3">
        <f t="shared" si="3"/>
        <v>1.9172051409500623E-3</v>
      </c>
      <c r="G123" s="3"/>
      <c r="H123" s="24"/>
      <c r="I123" s="134"/>
      <c r="J123" s="134"/>
      <c r="K123" s="134"/>
      <c r="L123" s="134"/>
      <c r="M123" s="134"/>
      <c r="N123" s="115"/>
      <c r="O123" s="42"/>
      <c r="P123" s="65"/>
      <c r="Q123" s="16"/>
      <c r="R123" s="16"/>
      <c r="S123" s="16"/>
      <c r="T123" s="16"/>
      <c r="U123" s="16"/>
      <c r="V123" s="16"/>
    </row>
    <row r="124" spans="1:22" x14ac:dyDescent="0.2">
      <c r="A124" s="63">
        <v>20388.09765625</v>
      </c>
      <c r="B124" s="84">
        <v>1.4481277835284083</v>
      </c>
      <c r="C124" s="3">
        <f t="shared" si="0"/>
        <v>1.3925000000000001</v>
      </c>
      <c r="D124" s="3">
        <f t="shared" si="1"/>
        <v>0.98920711787987359</v>
      </c>
      <c r="E124" s="3">
        <f t="shared" si="2"/>
        <v>0.98878079954555131</v>
      </c>
      <c r="F124" s="3">
        <f t="shared" si="3"/>
        <v>3.2663494993963038E-3</v>
      </c>
      <c r="G124" s="3"/>
      <c r="H124" s="24"/>
      <c r="I124" s="134"/>
      <c r="J124" s="134"/>
      <c r="K124" s="134"/>
      <c r="L124" s="134"/>
      <c r="M124" s="134"/>
      <c r="N124" s="115"/>
      <c r="O124" s="42"/>
      <c r="P124" s="65"/>
      <c r="Q124" s="16"/>
      <c r="R124" s="16"/>
      <c r="S124" s="16"/>
      <c r="T124" s="16"/>
      <c r="U124" s="16"/>
      <c r="V124" s="16"/>
    </row>
    <row r="125" spans="1:22" x14ac:dyDescent="0.2">
      <c r="A125" s="63">
        <v>22293.357421875</v>
      </c>
      <c r="B125" s="84">
        <v>1.4513277835284084</v>
      </c>
      <c r="C125" s="3">
        <f t="shared" si="0"/>
        <v>1.3957000000000002</v>
      </c>
      <c r="D125" s="3">
        <f t="shared" si="1"/>
        <v>0.9913930180561018</v>
      </c>
      <c r="E125" s="3">
        <f t="shared" si="2"/>
        <v>0.99105304267556638</v>
      </c>
      <c r="F125" s="3">
        <f t="shared" si="3"/>
        <v>2.2722431300150614E-3</v>
      </c>
      <c r="G125" s="3"/>
      <c r="H125" s="24"/>
      <c r="I125" s="134"/>
      <c r="J125" s="134"/>
      <c r="K125" s="134"/>
      <c r="L125" s="134"/>
      <c r="M125" s="134"/>
      <c r="N125" s="115"/>
      <c r="O125" s="42"/>
      <c r="P125" s="65"/>
      <c r="Q125" s="16"/>
      <c r="R125" s="16"/>
      <c r="S125" s="16"/>
      <c r="T125" s="16"/>
      <c r="U125" s="16"/>
      <c r="V125" s="16"/>
    </row>
    <row r="126" spans="1:22" x14ac:dyDescent="0.2">
      <c r="A126" s="63">
        <v>24394.859375</v>
      </c>
      <c r="B126" s="84">
        <v>1.4538277835284084</v>
      </c>
      <c r="C126" s="3">
        <f t="shared" si="0"/>
        <v>1.3982000000000001</v>
      </c>
      <c r="D126" s="3">
        <f t="shared" si="1"/>
        <v>0.99310075256877994</v>
      </c>
      <c r="E126" s="3">
        <f t="shared" si="2"/>
        <v>0.99282823262089048</v>
      </c>
      <c r="F126" s="3">
        <f t="shared" si="3"/>
        <v>1.7751899453241071E-3</v>
      </c>
      <c r="G126" s="3"/>
      <c r="H126" s="24"/>
      <c r="I126" s="134"/>
      <c r="J126" s="134"/>
      <c r="K126" s="134"/>
      <c r="L126" s="134"/>
      <c r="M126" s="134"/>
      <c r="N126" s="115"/>
      <c r="O126" s="42"/>
      <c r="P126" s="65"/>
      <c r="Q126" s="16"/>
      <c r="R126" s="16"/>
      <c r="S126" s="16"/>
      <c r="T126" s="16"/>
      <c r="U126" s="16"/>
      <c r="V126" s="16"/>
    </row>
    <row r="127" spans="1:22" x14ac:dyDescent="0.2">
      <c r="A127" s="63">
        <v>26696.29296875</v>
      </c>
      <c r="B127" s="84">
        <v>1.4569277835284082</v>
      </c>
      <c r="C127" s="3">
        <f t="shared" si="0"/>
        <v>1.4013</v>
      </c>
      <c r="D127" s="3">
        <f t="shared" si="1"/>
        <v>0.99521834336450088</v>
      </c>
      <c r="E127" s="3">
        <f t="shared" si="2"/>
        <v>0.99502946815309234</v>
      </c>
      <c r="F127" s="3">
        <f t="shared" si="3"/>
        <v>2.2012355322018617E-3</v>
      </c>
      <c r="G127" s="3"/>
      <c r="H127" s="24"/>
      <c r="I127" s="134"/>
      <c r="J127" s="134"/>
      <c r="K127" s="134"/>
      <c r="L127" s="134"/>
      <c r="M127" s="134"/>
      <c r="N127" s="115"/>
      <c r="O127" s="42"/>
      <c r="P127" s="65"/>
      <c r="Q127" s="16"/>
      <c r="R127" s="16"/>
      <c r="S127" s="16"/>
      <c r="T127" s="16"/>
      <c r="U127" s="16"/>
      <c r="V127" s="16"/>
    </row>
    <row r="128" spans="1:22" x14ac:dyDescent="0.2">
      <c r="A128" s="63">
        <v>29294.11328125</v>
      </c>
      <c r="B128" s="84">
        <v>1.4595277835284084</v>
      </c>
      <c r="C128" s="3">
        <f t="shared" si="0"/>
        <v>1.4039000000000001</v>
      </c>
      <c r="D128" s="3">
        <f t="shared" si="1"/>
        <v>0.9969943872576863</v>
      </c>
      <c r="E128" s="3">
        <f t="shared" si="2"/>
        <v>0.99687566569622954</v>
      </c>
      <c r="F128" s="3">
        <f t="shared" si="3"/>
        <v>1.8461975431371958E-3</v>
      </c>
      <c r="G128" s="3"/>
      <c r="H128" s="24"/>
      <c r="I128" s="134"/>
      <c r="J128" s="134"/>
      <c r="K128" s="134"/>
      <c r="L128" s="134"/>
      <c r="M128" s="134"/>
      <c r="N128" s="115"/>
      <c r="O128" s="42"/>
      <c r="P128" s="65"/>
      <c r="Q128" s="16"/>
      <c r="R128" s="16"/>
      <c r="S128" s="16"/>
      <c r="T128" s="16"/>
      <c r="U128" s="16"/>
      <c r="V128" s="16"/>
    </row>
    <row r="129" spans="1:23" x14ac:dyDescent="0.2">
      <c r="A129" s="63">
        <v>31996.6171875</v>
      </c>
      <c r="B129" s="84">
        <v>1.4595277835284084</v>
      </c>
      <c r="C129" s="3">
        <f t="shared" si="0"/>
        <v>1.4039000000000001</v>
      </c>
      <c r="D129" s="3">
        <f t="shared" si="1"/>
        <v>0.9969943872576863</v>
      </c>
      <c r="E129" s="3">
        <f t="shared" si="2"/>
        <v>0.99687566569622954</v>
      </c>
      <c r="F129" s="3">
        <f t="shared" si="3"/>
        <v>0</v>
      </c>
      <c r="G129" s="3"/>
      <c r="H129" s="24"/>
      <c r="I129" s="134"/>
      <c r="J129" s="134"/>
      <c r="K129" s="134"/>
      <c r="L129" s="134"/>
      <c r="M129" s="134"/>
      <c r="N129" s="115"/>
      <c r="O129" s="42"/>
      <c r="P129" s="65"/>
      <c r="Q129" s="16"/>
      <c r="R129" s="16"/>
      <c r="S129" s="16"/>
      <c r="T129" s="16"/>
      <c r="U129" s="16"/>
      <c r="V129" s="16"/>
    </row>
    <row r="130" spans="1:23" x14ac:dyDescent="0.2">
      <c r="A130" s="63">
        <v>34997.03515625</v>
      </c>
      <c r="B130" s="84">
        <v>1.4615277835284082</v>
      </c>
      <c r="C130" s="3">
        <f t="shared" si="0"/>
        <v>1.4058999999999999</v>
      </c>
      <c r="D130" s="3">
        <f t="shared" si="1"/>
        <v>0.99836057486782881</v>
      </c>
      <c r="E130" s="3">
        <f t="shared" si="2"/>
        <v>0.99829581765248865</v>
      </c>
      <c r="F130" s="3">
        <f t="shared" si="3"/>
        <v>1.4201519562591081E-3</v>
      </c>
      <c r="G130" s="3"/>
      <c r="H130" s="24"/>
      <c r="I130" s="134"/>
      <c r="J130" s="134"/>
      <c r="K130" s="134"/>
      <c r="L130" s="134"/>
      <c r="M130" s="134"/>
      <c r="N130" s="115"/>
      <c r="O130" s="42"/>
      <c r="P130" s="65"/>
      <c r="Q130" s="16"/>
      <c r="R130" s="16"/>
      <c r="S130" s="16"/>
      <c r="T130" s="16"/>
      <c r="U130" s="16"/>
      <c r="V130" s="16"/>
    </row>
    <row r="131" spans="1:23" x14ac:dyDescent="0.2">
      <c r="A131" s="63">
        <v>38286.2265625</v>
      </c>
      <c r="B131" s="84">
        <v>1.4630277835284082</v>
      </c>
      <c r="C131" s="3">
        <f t="shared" si="0"/>
        <v>1.4074</v>
      </c>
      <c r="D131" s="3">
        <f t="shared" si="1"/>
        <v>0.9993852155754358</v>
      </c>
      <c r="E131" s="3">
        <f t="shared" si="2"/>
        <v>0.9993609316196832</v>
      </c>
      <c r="F131" s="3">
        <f t="shared" si="3"/>
        <v>1.0651139671945531E-3</v>
      </c>
      <c r="G131" s="3"/>
      <c r="H131" s="24"/>
      <c r="I131" s="134"/>
      <c r="J131" s="134"/>
      <c r="K131" s="134"/>
      <c r="L131" s="134"/>
      <c r="M131" s="134"/>
      <c r="N131" s="115"/>
      <c r="O131" s="42"/>
      <c r="P131" s="65"/>
      <c r="Q131" s="16"/>
      <c r="R131" s="16"/>
      <c r="S131" s="16"/>
      <c r="T131" s="16"/>
      <c r="U131" s="16"/>
      <c r="V131" s="16"/>
    </row>
    <row r="132" spans="1:23" x14ac:dyDescent="0.2">
      <c r="A132" s="63">
        <v>41872.48046875</v>
      </c>
      <c r="B132" s="84">
        <v>1.4631277835284084</v>
      </c>
      <c r="C132" s="3">
        <f t="shared" si="0"/>
        <v>1.4075000000000002</v>
      </c>
      <c r="D132" s="3">
        <f t="shared" si="1"/>
        <v>0.99945352495594297</v>
      </c>
      <c r="E132" s="3">
        <f t="shared" si="2"/>
        <v>0.99943193921749629</v>
      </c>
      <c r="F132" s="3">
        <f t="shared" si="3"/>
        <v>7.100759781308863E-5</v>
      </c>
      <c r="G132" s="3"/>
      <c r="H132" s="24"/>
      <c r="I132" s="134"/>
      <c r="J132" s="134"/>
      <c r="K132" s="134"/>
      <c r="L132" s="134"/>
      <c r="M132" s="134"/>
      <c r="N132" s="115"/>
      <c r="O132" s="42"/>
      <c r="P132" s="65"/>
      <c r="Q132" s="16"/>
      <c r="R132" s="16"/>
      <c r="S132" s="16"/>
      <c r="T132" s="16"/>
      <c r="U132" s="16"/>
      <c r="V132" s="16"/>
    </row>
    <row r="133" spans="1:23" x14ac:dyDescent="0.2">
      <c r="A133" s="63">
        <v>45770.72265625</v>
      </c>
      <c r="B133" s="84">
        <v>1.4635277835284084</v>
      </c>
      <c r="C133" s="3">
        <f t="shared" si="0"/>
        <v>1.4079000000000002</v>
      </c>
      <c r="D133" s="3">
        <f t="shared" si="1"/>
        <v>0.99972676247797154</v>
      </c>
      <c r="E133" s="3">
        <f t="shared" si="2"/>
        <v>0.9997159696087482</v>
      </c>
      <c r="F133" s="3">
        <f t="shared" si="3"/>
        <v>2.8403039125191043E-4</v>
      </c>
      <c r="G133" s="3"/>
      <c r="H133" s="24"/>
      <c r="I133" s="134"/>
      <c r="J133" s="134"/>
      <c r="K133" s="134"/>
      <c r="L133" s="134"/>
      <c r="M133" s="134"/>
      <c r="N133" s="115"/>
      <c r="O133" s="42"/>
      <c r="P133" s="65"/>
      <c r="Q133" s="16"/>
      <c r="R133" s="16"/>
      <c r="S133" s="16"/>
      <c r="T133" s="16"/>
      <c r="U133" s="16"/>
      <c r="V133" s="16"/>
    </row>
    <row r="134" spans="1:23" x14ac:dyDescent="0.2">
      <c r="A134" s="63">
        <v>50071.546875</v>
      </c>
      <c r="B134" s="84">
        <v>1.4635277835284084</v>
      </c>
      <c r="C134" s="3">
        <f t="shared" si="0"/>
        <v>1.4079000000000002</v>
      </c>
      <c r="D134" s="3">
        <f t="shared" si="1"/>
        <v>0.99972676247797154</v>
      </c>
      <c r="E134" s="3">
        <f t="shared" si="2"/>
        <v>0.9997159696087482</v>
      </c>
      <c r="F134" s="3">
        <f t="shared" si="3"/>
        <v>0</v>
      </c>
      <c r="G134" s="3"/>
      <c r="H134" s="24"/>
      <c r="I134" s="134"/>
      <c r="J134" s="134"/>
      <c r="K134" s="134"/>
      <c r="L134" s="134"/>
      <c r="M134" s="134"/>
      <c r="N134" s="115"/>
      <c r="O134" s="42"/>
      <c r="P134" s="65"/>
      <c r="Q134" s="16"/>
      <c r="R134" s="16"/>
      <c r="S134" s="16"/>
      <c r="T134" s="16"/>
      <c r="U134" s="16"/>
      <c r="V134" s="16"/>
    </row>
    <row r="135" spans="1:23" x14ac:dyDescent="0.2">
      <c r="A135" s="63">
        <v>54771.05078125</v>
      </c>
      <c r="B135" s="84">
        <v>1.4639277835284084</v>
      </c>
      <c r="C135" s="3">
        <f t="shared" si="0"/>
        <v>1.4083000000000001</v>
      </c>
      <c r="D135" s="3">
        <f t="shared" si="1"/>
        <v>1</v>
      </c>
      <c r="E135" s="3">
        <f t="shared" si="2"/>
        <v>1</v>
      </c>
      <c r="F135" s="3">
        <f t="shared" si="3"/>
        <v>2.8403039125179941E-4</v>
      </c>
      <c r="G135" s="3"/>
      <c r="H135" s="24"/>
      <c r="I135" s="134"/>
      <c r="J135" s="134"/>
      <c r="K135" s="134"/>
      <c r="L135" s="134"/>
      <c r="M135" s="134"/>
      <c r="N135" s="115"/>
      <c r="O135" s="42"/>
      <c r="P135" s="65"/>
      <c r="Q135" s="16"/>
      <c r="R135" s="16"/>
      <c r="S135" s="16"/>
      <c r="T135" s="16"/>
      <c r="U135" s="16"/>
      <c r="V135" s="16"/>
    </row>
    <row r="136" spans="1:23" x14ac:dyDescent="0.2">
      <c r="A136" s="63">
        <v>59468.6875</v>
      </c>
      <c r="B136" s="84">
        <v>1.4639277835284084</v>
      </c>
      <c r="C136" s="3">
        <f t="shared" si="0"/>
        <v>1.4083000000000001</v>
      </c>
      <c r="D136" s="3">
        <f t="shared" si="1"/>
        <v>1</v>
      </c>
      <c r="E136" s="3">
        <f t="shared" si="2"/>
        <v>1</v>
      </c>
      <c r="F136" s="3">
        <f t="shared" si="3"/>
        <v>0</v>
      </c>
      <c r="G136" s="3"/>
      <c r="H136" s="117"/>
      <c r="I136" s="63"/>
      <c r="J136" s="63"/>
      <c r="K136" s="63"/>
      <c r="L136" s="63"/>
      <c r="M136" s="63"/>
      <c r="P136" s="65"/>
      <c r="Q136" s="16"/>
      <c r="R136" s="16"/>
      <c r="S136" s="16"/>
      <c r="T136" s="16"/>
      <c r="U136" s="16"/>
      <c r="V136" s="16"/>
    </row>
    <row r="137" spans="1:23" x14ac:dyDescent="0.2">
      <c r="A137" s="63"/>
      <c r="B137" s="84"/>
      <c r="C137" s="3"/>
      <c r="D137" s="3"/>
      <c r="E137" s="3"/>
      <c r="F137" s="3"/>
      <c r="G137" s="3"/>
      <c r="H137" s="117"/>
      <c r="I137" s="63"/>
      <c r="J137" s="63"/>
      <c r="K137" s="63"/>
      <c r="L137" s="63"/>
      <c r="M137" s="63"/>
      <c r="P137" s="152"/>
      <c r="Q137" s="16"/>
      <c r="R137" s="16"/>
      <c r="S137" s="16"/>
      <c r="T137" s="16"/>
      <c r="U137" s="16"/>
      <c r="V137" s="16"/>
    </row>
    <row r="138" spans="1:23" x14ac:dyDescent="0.2">
      <c r="A138" s="63"/>
      <c r="B138" s="84"/>
      <c r="C138" s="3"/>
      <c r="D138" s="3"/>
      <c r="E138" s="3"/>
      <c r="F138" s="3"/>
      <c r="G138" s="3"/>
      <c r="H138" s="117"/>
      <c r="I138" s="63"/>
      <c r="J138" s="63"/>
      <c r="K138" s="63"/>
      <c r="L138" s="63"/>
      <c r="M138" s="63"/>
      <c r="P138" s="152"/>
      <c r="Q138" s="16"/>
      <c r="R138" s="16"/>
      <c r="S138" s="16"/>
      <c r="T138" s="16"/>
      <c r="U138" s="16"/>
      <c r="V138" s="16"/>
    </row>
    <row r="139" spans="1:23" x14ac:dyDescent="0.2">
      <c r="A139" s="63"/>
      <c r="B139" s="84"/>
      <c r="C139" s="3"/>
      <c r="D139" s="3"/>
      <c r="E139" s="3"/>
      <c r="F139" s="3"/>
      <c r="G139" s="3"/>
      <c r="H139" s="117"/>
      <c r="I139" s="63"/>
      <c r="J139" s="63"/>
      <c r="K139" s="63"/>
      <c r="L139" s="63"/>
      <c r="M139" s="63"/>
      <c r="P139" s="152"/>
      <c r="Q139" s="16"/>
      <c r="R139" s="16"/>
      <c r="S139" s="16"/>
      <c r="T139" s="16"/>
      <c r="U139" s="16"/>
      <c r="V139" s="16"/>
    </row>
    <row r="140" spans="1:23" x14ac:dyDescent="0.2">
      <c r="A140" s="63"/>
      <c r="B140" s="84"/>
      <c r="C140" s="3"/>
      <c r="D140" s="3"/>
      <c r="E140" s="3"/>
      <c r="F140" s="3"/>
      <c r="G140" s="3"/>
      <c r="H140" s="117"/>
      <c r="I140" s="63"/>
      <c r="J140" s="63"/>
      <c r="K140" s="63"/>
      <c r="L140" s="63"/>
      <c r="M140" s="63"/>
      <c r="P140" s="152"/>
      <c r="Q140" s="16"/>
      <c r="R140" s="16"/>
      <c r="S140" s="16"/>
      <c r="T140" s="16"/>
      <c r="U140" s="16"/>
      <c r="V140" s="16"/>
    </row>
    <row r="141" spans="1:23" x14ac:dyDescent="0.2">
      <c r="A141" s="63"/>
      <c r="B141" s="84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117"/>
      <c r="P141" s="63"/>
      <c r="Q141" s="63"/>
      <c r="R141" s="63"/>
      <c r="S141" s="63"/>
      <c r="T141" s="63"/>
      <c r="W141" s="152"/>
    </row>
  </sheetData>
  <mergeCells count="7">
    <mergeCell ref="A5:M5"/>
    <mergeCell ref="I32:J32"/>
    <mergeCell ref="I33:J33"/>
    <mergeCell ref="I34:J34"/>
    <mergeCell ref="K32:L32"/>
    <mergeCell ref="K33:L33"/>
    <mergeCell ref="K34:L34"/>
  </mergeCells>
  <printOptions horizontalCentered="1"/>
  <pageMargins left="0.5" right="0.5" top="0.1" bottom="0.25" header="0" footer="0"/>
  <pageSetup scale="65" orientation="portrait"/>
  <rowBreaks count="2" manualBreakCount="2">
    <brk id="86" max="12" man="1"/>
    <brk id="162" max="12" man="1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0"/>
  <sheetViews>
    <sheetView showGridLines="0" workbookViewId="0">
      <selection activeCell="O4" sqref="O4"/>
    </sheetView>
  </sheetViews>
  <sheetFormatPr defaultColWidth="8.85546875" defaultRowHeight="12.75" x14ac:dyDescent="0.2"/>
  <cols>
    <col min="1" max="17" width="8.140625" style="94" customWidth="1"/>
    <col min="18" max="16384" width="8.85546875" style="94"/>
  </cols>
  <sheetData>
    <row r="1" spans="1:15" ht="15.75" x14ac:dyDescent="0.25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41"/>
      <c r="O1" s="141"/>
    </row>
    <row r="2" spans="1:15" x14ac:dyDescent="0.2">
      <c r="C2" s="119" t="str">
        <f>Table!A7</f>
        <v>NordAq Energy Inc.</v>
      </c>
      <c r="K2" s="11" t="str">
        <f>Table!L7</f>
        <v>Sample Number:</v>
      </c>
      <c r="N2" s="77"/>
      <c r="O2" s="25" t="str">
        <f>Table!$P$7</f>
        <v>1</v>
      </c>
    </row>
    <row r="3" spans="1:15" x14ac:dyDescent="0.2">
      <c r="C3" s="119" t="str">
        <f>Table!A8</f>
        <v>East Simpson No. 2 (USGS/Husky 1980)</v>
      </c>
      <c r="K3" s="11" t="str">
        <f>Table!L8</f>
        <v>Sample Depth, m:</v>
      </c>
      <c r="N3" s="79"/>
      <c r="O3" s="40">
        <f>Table!$P$8</f>
        <v>6061.5</v>
      </c>
    </row>
    <row r="4" spans="1:15" x14ac:dyDescent="0.2">
      <c r="C4" s="119" t="str">
        <f>Table!A9</f>
        <v>Torok Sandstones Formation</v>
      </c>
      <c r="K4" s="11" t="str">
        <f>Table!L9</f>
        <v>Permeability to Air (calc), mD:</v>
      </c>
      <c r="M4" s="8"/>
      <c r="N4" s="156"/>
      <c r="O4" s="56">
        <f>Table!$P$9</f>
        <v>0.82053953772495258</v>
      </c>
    </row>
    <row r="5" spans="1:15" x14ac:dyDescent="0.2">
      <c r="C5" s="119" t="str">
        <f>Table!A10</f>
        <v>HH-61176</v>
      </c>
      <c r="D5" s="155"/>
      <c r="E5" s="155"/>
      <c r="F5" s="135"/>
      <c r="G5" s="155"/>
      <c r="K5" s="11" t="str">
        <f>Table!L10</f>
        <v>Porosity, fraction:</v>
      </c>
      <c r="M5" s="8"/>
      <c r="N5" s="156"/>
      <c r="O5" s="56">
        <f>Table!$P$10</f>
        <v>0.12827040818845631</v>
      </c>
    </row>
    <row r="6" spans="1:15" x14ac:dyDescent="0.2">
      <c r="A6" s="8"/>
      <c r="C6" s="119"/>
      <c r="D6" s="22"/>
      <c r="E6" s="22"/>
      <c r="F6" s="22"/>
      <c r="G6" s="8"/>
      <c r="K6" s="11" t="str">
        <f>Table!L11</f>
        <v>Grain Density, grams/cc:</v>
      </c>
      <c r="M6" s="22"/>
      <c r="N6" s="7"/>
      <c r="O6" s="135">
        <f>Table!$P$11</f>
        <v>2.6700868871346555</v>
      </c>
    </row>
    <row r="7" spans="1:15" x14ac:dyDescent="0.2">
      <c r="B7" s="119"/>
      <c r="D7" s="8"/>
      <c r="E7" s="8"/>
      <c r="I7" s="11"/>
      <c r="K7" s="22"/>
      <c r="L7" s="149"/>
      <c r="M7" s="5"/>
    </row>
    <row r="8" spans="1:15" x14ac:dyDescent="0.2">
      <c r="B8" s="119"/>
      <c r="D8" s="8"/>
      <c r="E8" s="8"/>
      <c r="I8" s="11"/>
      <c r="K8" s="22"/>
      <c r="L8" s="149"/>
      <c r="M8" s="5"/>
    </row>
    <row r="9" spans="1:15" ht="12" customHeight="1" x14ac:dyDescent="0.2">
      <c r="B9" s="8"/>
      <c r="C9" s="8"/>
      <c r="D9" s="8"/>
      <c r="E9" s="8"/>
      <c r="F9" s="8"/>
    </row>
    <row r="10" spans="1:15" x14ac:dyDescent="0.2">
      <c r="B10" s="8"/>
      <c r="C10" s="8"/>
      <c r="D10" s="8"/>
      <c r="E10" s="8"/>
      <c r="F10" s="8"/>
      <c r="K10" s="22"/>
      <c r="L10" s="149"/>
    </row>
    <row r="11" spans="1:15" x14ac:dyDescent="0.2">
      <c r="B11" s="8"/>
      <c r="C11" s="8"/>
      <c r="D11" s="22"/>
      <c r="E11" s="8"/>
      <c r="F11" s="8"/>
      <c r="K11" s="22"/>
      <c r="L11" s="149"/>
    </row>
    <row r="12" spans="1:15" x14ac:dyDescent="0.2">
      <c r="B12" s="8"/>
      <c r="C12" s="8"/>
      <c r="D12" s="22"/>
      <c r="E12" s="8"/>
      <c r="F12" s="8"/>
      <c r="G12" s="11"/>
      <c r="H12" s="8"/>
      <c r="I12" s="8"/>
      <c r="J12" s="56"/>
      <c r="K12" s="22"/>
      <c r="L12" s="149"/>
    </row>
    <row r="13" spans="1:15" x14ac:dyDescent="0.2">
      <c r="A13" s="119"/>
      <c r="B13" s="8"/>
      <c r="C13" s="8"/>
      <c r="D13" s="8"/>
      <c r="E13" s="8"/>
      <c r="F13" s="8"/>
      <c r="G13" s="8"/>
      <c r="H13" s="8"/>
      <c r="I13" s="156"/>
      <c r="J13" s="22"/>
      <c r="K13" s="22"/>
      <c r="L13" s="149"/>
    </row>
    <row r="14" spans="1:15" x14ac:dyDescent="0.2">
      <c r="A14" s="92"/>
      <c r="B14" s="92"/>
      <c r="C14" s="92"/>
      <c r="D14" s="92"/>
      <c r="E14" s="92"/>
      <c r="F14" s="92"/>
      <c r="G14" s="92"/>
      <c r="H14" s="92"/>
      <c r="I14" s="92"/>
      <c r="J14" s="92"/>
      <c r="K14" s="22"/>
      <c r="L14" s="149"/>
    </row>
    <row r="15" spans="1:15" x14ac:dyDescent="0.2">
      <c r="A15" s="92"/>
      <c r="B15" s="92"/>
      <c r="C15" s="92"/>
      <c r="D15" s="92"/>
      <c r="E15" s="92"/>
      <c r="F15" s="92"/>
      <c r="G15" s="92"/>
      <c r="H15" s="92"/>
      <c r="I15" s="92"/>
      <c r="J15" s="92"/>
      <c r="K15" s="8"/>
      <c r="L15" s="149"/>
    </row>
    <row r="16" spans="1:15" x14ac:dyDescent="0.2">
      <c r="A16" s="92"/>
      <c r="B16" s="92"/>
      <c r="C16" s="92"/>
      <c r="D16" s="92"/>
      <c r="E16" s="92"/>
      <c r="F16" s="92"/>
      <c r="G16" s="92"/>
      <c r="H16" s="92"/>
      <c r="I16" s="92"/>
      <c r="J16" s="92"/>
      <c r="K16" s="8"/>
      <c r="L16" s="149"/>
    </row>
    <row r="17" spans="1:12" x14ac:dyDescent="0.2">
      <c r="A17" s="106"/>
      <c r="B17" s="106"/>
      <c r="C17" s="106"/>
      <c r="D17" s="106"/>
      <c r="E17" s="106"/>
      <c r="F17" s="106"/>
      <c r="G17" s="106"/>
      <c r="H17" s="106"/>
      <c r="I17" s="106"/>
      <c r="J17" s="106"/>
      <c r="K17" s="8"/>
      <c r="L17" s="65"/>
    </row>
    <row r="18" spans="1:12" x14ac:dyDescent="0.2">
      <c r="A18" s="152"/>
      <c r="B18" s="9"/>
      <c r="C18" s="9"/>
      <c r="D18" s="113"/>
      <c r="E18" s="159"/>
      <c r="F18" s="145"/>
      <c r="G18" s="145"/>
      <c r="H18" s="145"/>
      <c r="I18" s="145"/>
      <c r="J18" s="145"/>
      <c r="K18" s="8"/>
      <c r="L18" s="65"/>
    </row>
    <row r="19" spans="1:12" x14ac:dyDescent="0.2">
      <c r="A19" s="1"/>
      <c r="B19" s="9"/>
      <c r="C19" s="9"/>
      <c r="D19" s="113"/>
      <c r="E19" s="159"/>
      <c r="F19" s="145"/>
      <c r="G19" s="145"/>
      <c r="H19" s="145"/>
      <c r="I19" s="145"/>
      <c r="J19" s="145"/>
      <c r="K19" s="8"/>
      <c r="L19" s="65"/>
    </row>
    <row r="20" spans="1:12" x14ac:dyDescent="0.2">
      <c r="A20" s="1"/>
      <c r="B20" s="9"/>
      <c r="C20" s="9"/>
      <c r="D20" s="113"/>
      <c r="E20" s="159"/>
      <c r="F20" s="145"/>
      <c r="G20" s="145"/>
      <c r="H20" s="145"/>
      <c r="I20" s="145"/>
      <c r="J20" s="145"/>
      <c r="K20" s="8"/>
      <c r="L20" s="106"/>
    </row>
    <row r="21" spans="1:12" x14ac:dyDescent="0.2">
      <c r="A21" s="1"/>
      <c r="B21" s="9"/>
      <c r="C21" s="9"/>
      <c r="D21" s="113"/>
      <c r="E21" s="159"/>
      <c r="F21" s="145"/>
      <c r="G21" s="145"/>
      <c r="H21" s="145"/>
      <c r="I21" s="145"/>
      <c r="J21" s="145"/>
      <c r="K21" s="8"/>
      <c r="L21" s="124"/>
    </row>
    <row r="22" spans="1:12" x14ac:dyDescent="0.2">
      <c r="A22" s="1"/>
      <c r="B22" s="9"/>
      <c r="C22" s="9"/>
      <c r="D22" s="113"/>
      <c r="E22" s="159"/>
      <c r="F22" s="145"/>
      <c r="G22" s="145"/>
      <c r="H22" s="145"/>
      <c r="I22" s="145"/>
      <c r="J22" s="145"/>
      <c r="K22" s="8"/>
      <c r="L22" s="124"/>
    </row>
    <row r="23" spans="1:12" x14ac:dyDescent="0.2">
      <c r="A23" s="1"/>
      <c r="B23" s="9"/>
      <c r="C23" s="9"/>
      <c r="D23" s="113"/>
      <c r="E23" s="159"/>
      <c r="F23" s="145"/>
      <c r="G23" s="145"/>
      <c r="H23" s="145"/>
      <c r="I23" s="145"/>
      <c r="J23" s="145"/>
      <c r="K23" s="8"/>
      <c r="L23" s="124"/>
    </row>
    <row r="24" spans="1:12" x14ac:dyDescent="0.2">
      <c r="A24" s="66"/>
      <c r="B24" s="9"/>
      <c r="C24" s="9"/>
      <c r="D24" s="113"/>
      <c r="E24" s="159"/>
      <c r="F24" s="145"/>
      <c r="G24" s="145"/>
      <c r="H24" s="145"/>
      <c r="I24" s="145"/>
      <c r="J24" s="145"/>
      <c r="K24" s="8"/>
      <c r="L24" s="124"/>
    </row>
    <row r="25" spans="1:12" x14ac:dyDescent="0.2">
      <c r="A25" s="66"/>
      <c r="B25" s="9"/>
      <c r="C25" s="9"/>
      <c r="D25" s="113"/>
      <c r="E25" s="159"/>
      <c r="F25" s="145"/>
      <c r="G25" s="145"/>
      <c r="H25" s="145"/>
      <c r="I25" s="145"/>
      <c r="J25" s="145"/>
      <c r="K25" s="8"/>
      <c r="L25" s="124"/>
    </row>
    <row r="26" spans="1:12" x14ac:dyDescent="0.2">
      <c r="A26" s="66"/>
      <c r="B26" s="9"/>
      <c r="C26" s="9"/>
      <c r="D26" s="113"/>
      <c r="E26" s="159"/>
      <c r="F26" s="145"/>
      <c r="G26" s="145"/>
      <c r="H26" s="145"/>
      <c r="I26" s="145"/>
      <c r="J26" s="145"/>
      <c r="K26" s="8"/>
      <c r="L26" s="124"/>
    </row>
    <row r="27" spans="1:12" ht="15.75" customHeight="1" x14ac:dyDescent="0.2">
      <c r="A27" s="66"/>
      <c r="B27" s="9"/>
      <c r="C27" s="9"/>
      <c r="D27" s="113"/>
      <c r="E27" s="159"/>
      <c r="F27" s="145"/>
      <c r="G27" s="145"/>
      <c r="H27" s="145"/>
      <c r="I27" s="145"/>
      <c r="J27" s="145"/>
      <c r="K27" s="8"/>
      <c r="L27" s="124"/>
    </row>
    <row r="28" spans="1:12" x14ac:dyDescent="0.2">
      <c r="A28" s="66"/>
      <c r="B28" s="9"/>
      <c r="C28" s="9"/>
      <c r="D28" s="113"/>
      <c r="E28" s="159"/>
      <c r="F28" s="145"/>
      <c r="G28" s="145"/>
      <c r="H28" s="145"/>
      <c r="I28" s="145"/>
      <c r="J28" s="145"/>
      <c r="K28" s="8"/>
      <c r="L28" s="124"/>
    </row>
    <row r="29" spans="1:12" x14ac:dyDescent="0.2">
      <c r="A29" s="19"/>
      <c r="B29" s="9"/>
      <c r="C29" s="9"/>
      <c r="D29" s="113"/>
      <c r="E29" s="159"/>
      <c r="F29" s="145"/>
      <c r="G29" s="145"/>
      <c r="H29" s="145"/>
      <c r="I29" s="145"/>
      <c r="J29" s="145"/>
      <c r="K29" s="8"/>
      <c r="L29" s="124"/>
    </row>
    <row r="30" spans="1:12" x14ac:dyDescent="0.2">
      <c r="A30" s="19"/>
      <c r="B30" s="9"/>
      <c r="C30" s="9"/>
      <c r="D30" s="113"/>
      <c r="E30" s="159"/>
      <c r="F30" s="145"/>
      <c r="G30" s="145"/>
      <c r="H30" s="145"/>
      <c r="I30" s="145"/>
      <c r="J30" s="145"/>
      <c r="K30" s="8"/>
      <c r="L30" s="124"/>
    </row>
    <row r="31" spans="1:12" x14ac:dyDescent="0.2">
      <c r="A31" s="19"/>
      <c r="B31" s="9"/>
      <c r="C31" s="9"/>
      <c r="D31" s="113"/>
      <c r="E31" s="159"/>
      <c r="F31" s="145"/>
      <c r="G31" s="145"/>
      <c r="H31" s="145"/>
      <c r="I31" s="145"/>
      <c r="J31" s="145"/>
      <c r="K31" s="8"/>
      <c r="L31" s="124"/>
    </row>
    <row r="32" spans="1:12" x14ac:dyDescent="0.2">
      <c r="A32" s="19"/>
      <c r="B32" s="9"/>
      <c r="C32" s="9"/>
      <c r="D32" s="113"/>
      <c r="E32" s="159"/>
      <c r="F32" s="145"/>
      <c r="G32" s="145"/>
      <c r="H32" s="145"/>
      <c r="I32" s="145"/>
      <c r="J32" s="145"/>
      <c r="K32" s="8"/>
      <c r="L32" s="124"/>
    </row>
    <row r="33" spans="1:12" x14ac:dyDescent="0.2">
      <c r="A33" s="19"/>
      <c r="B33" s="9"/>
      <c r="C33" s="9"/>
      <c r="D33" s="113"/>
      <c r="E33" s="159"/>
      <c r="F33" s="145"/>
      <c r="G33" s="145"/>
      <c r="H33" s="145"/>
      <c r="I33" s="145"/>
      <c r="J33" s="145"/>
      <c r="K33" s="8"/>
      <c r="L33" s="124"/>
    </row>
    <row r="34" spans="1:12" x14ac:dyDescent="0.2">
      <c r="A34" s="111"/>
      <c r="B34" s="9"/>
      <c r="C34" s="9"/>
      <c r="D34" s="113"/>
      <c r="E34" s="159"/>
      <c r="F34" s="145"/>
      <c r="G34" s="145"/>
      <c r="H34" s="145"/>
      <c r="I34" s="145"/>
      <c r="J34" s="145"/>
      <c r="K34" s="8"/>
      <c r="L34" s="124"/>
    </row>
    <row r="35" spans="1:12" x14ac:dyDescent="0.2">
      <c r="A35" s="111"/>
      <c r="B35" s="9"/>
      <c r="C35" s="9"/>
      <c r="D35" s="113"/>
      <c r="E35" s="159"/>
      <c r="F35" s="145"/>
      <c r="G35" s="145"/>
      <c r="H35" s="145"/>
      <c r="I35" s="145"/>
      <c r="J35" s="145"/>
      <c r="K35" s="8"/>
      <c r="L35" s="124"/>
    </row>
    <row r="36" spans="1:12" x14ac:dyDescent="0.2">
      <c r="A36" s="111"/>
      <c r="B36" s="9"/>
      <c r="C36" s="9"/>
      <c r="D36" s="113"/>
      <c r="E36" s="159"/>
      <c r="F36" s="145"/>
      <c r="G36" s="145"/>
      <c r="H36" s="145"/>
      <c r="I36" s="145"/>
      <c r="J36" s="145"/>
      <c r="K36" s="8"/>
      <c r="L36" s="124"/>
    </row>
    <row r="37" spans="1:12" x14ac:dyDescent="0.2">
      <c r="A37" s="111"/>
      <c r="B37" s="9"/>
      <c r="C37" s="9"/>
      <c r="D37" s="113"/>
      <c r="E37" s="159"/>
      <c r="F37" s="145"/>
      <c r="G37" s="145"/>
      <c r="H37" s="145"/>
      <c r="I37" s="145"/>
      <c r="J37" s="145"/>
      <c r="K37" s="8"/>
      <c r="L37" s="124"/>
    </row>
    <row r="38" spans="1:12" x14ac:dyDescent="0.2">
      <c r="A38" s="111"/>
      <c r="B38" s="9"/>
      <c r="C38" s="9"/>
      <c r="D38" s="113"/>
      <c r="E38" s="159"/>
      <c r="F38" s="145"/>
      <c r="G38" s="145"/>
      <c r="H38" s="145"/>
      <c r="I38" s="145"/>
      <c r="J38" s="145"/>
      <c r="K38" s="8"/>
      <c r="L38" s="124"/>
    </row>
    <row r="39" spans="1:12" x14ac:dyDescent="0.2">
      <c r="A39" s="111"/>
      <c r="B39" s="9"/>
      <c r="C39" s="9"/>
      <c r="D39" s="113"/>
      <c r="E39" s="159"/>
      <c r="F39" s="145"/>
      <c r="G39" s="145"/>
      <c r="H39" s="145"/>
      <c r="I39" s="145"/>
      <c r="J39" s="145"/>
      <c r="K39" s="8"/>
      <c r="L39" s="124"/>
    </row>
    <row r="40" spans="1:12" x14ac:dyDescent="0.2">
      <c r="A40" s="111"/>
      <c r="B40" s="9"/>
      <c r="C40" s="9"/>
      <c r="D40" s="113"/>
      <c r="E40" s="159"/>
      <c r="F40" s="145"/>
      <c r="G40" s="145"/>
      <c r="H40" s="145"/>
      <c r="I40" s="145"/>
      <c r="J40" s="145"/>
      <c r="K40" s="8"/>
      <c r="L40" s="124"/>
    </row>
    <row r="41" spans="1:12" x14ac:dyDescent="0.2">
      <c r="A41" s="111"/>
      <c r="B41" s="9"/>
      <c r="C41" s="9"/>
      <c r="D41" s="113"/>
      <c r="E41" s="159"/>
      <c r="F41" s="145"/>
      <c r="G41" s="145"/>
      <c r="H41" s="145"/>
      <c r="I41" s="145"/>
      <c r="J41" s="145"/>
      <c r="K41" s="8"/>
      <c r="L41" s="124"/>
    </row>
    <row r="42" spans="1:12" x14ac:dyDescent="0.2">
      <c r="A42" s="111"/>
      <c r="B42" s="9"/>
      <c r="C42" s="9"/>
      <c r="D42" s="113"/>
      <c r="E42" s="159"/>
      <c r="F42" s="145"/>
      <c r="G42" s="145"/>
      <c r="H42" s="145"/>
      <c r="I42" s="145"/>
      <c r="J42" s="145"/>
      <c r="K42" s="8"/>
      <c r="L42" s="124"/>
    </row>
    <row r="43" spans="1:12" x14ac:dyDescent="0.2">
      <c r="A43" s="111"/>
      <c r="B43" s="9"/>
      <c r="C43" s="9"/>
      <c r="D43" s="113"/>
      <c r="E43" s="159"/>
      <c r="F43" s="145"/>
      <c r="G43" s="145"/>
      <c r="H43" s="145"/>
      <c r="I43" s="145"/>
      <c r="J43" s="145"/>
      <c r="K43" s="8"/>
      <c r="L43" s="124"/>
    </row>
    <row r="44" spans="1:12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2" ht="17.2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2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2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</row>
    <row r="48" spans="1:12" ht="15" x14ac:dyDescent="0.2">
      <c r="A48" s="16"/>
      <c r="B48" s="16"/>
      <c r="C48" s="16"/>
      <c r="D48" s="16"/>
      <c r="E48" s="16"/>
      <c r="F48" s="16"/>
      <c r="G48" s="16"/>
      <c r="H48" s="122"/>
      <c r="I48" s="13"/>
      <c r="J48" s="87"/>
      <c r="K48" s="16"/>
    </row>
    <row r="49" spans="1:12" x14ac:dyDescent="0.2">
      <c r="A49" s="16"/>
      <c r="B49" s="16"/>
      <c r="C49" s="16"/>
      <c r="D49" s="16"/>
      <c r="E49" s="16"/>
      <c r="F49" s="16"/>
      <c r="G49" s="16"/>
      <c r="H49" s="13"/>
      <c r="I49" s="13"/>
      <c r="J49" s="87"/>
      <c r="K49" s="16"/>
    </row>
    <row r="50" spans="1:12" x14ac:dyDescent="0.2">
      <c r="G50" s="16"/>
      <c r="H50" s="13"/>
      <c r="I50" s="13"/>
      <c r="J50" s="87"/>
      <c r="K50" s="16"/>
    </row>
    <row r="51" spans="1:12" x14ac:dyDescent="0.2">
      <c r="G51" s="16"/>
      <c r="H51" s="13"/>
      <c r="I51" s="13"/>
      <c r="J51" s="87"/>
      <c r="K51" s="16"/>
    </row>
    <row r="52" spans="1:12" x14ac:dyDescent="0.2">
      <c r="G52" s="16"/>
      <c r="H52" s="13"/>
      <c r="I52" s="13"/>
      <c r="J52" s="87"/>
      <c r="K52" s="16"/>
    </row>
    <row r="53" spans="1:12" x14ac:dyDescent="0.2">
      <c r="G53" s="16"/>
      <c r="H53" s="16"/>
      <c r="I53" s="16"/>
      <c r="J53" s="16"/>
      <c r="K53" s="16"/>
    </row>
    <row r="54" spans="1:12" x14ac:dyDescent="0.2">
      <c r="G54" s="16"/>
      <c r="H54" s="16"/>
      <c r="I54" s="16"/>
      <c r="J54" s="16"/>
      <c r="K54" s="16"/>
    </row>
    <row r="56" spans="1:12" x14ac:dyDescent="0.2">
      <c r="J56"/>
      <c r="K56"/>
      <c r="L56"/>
    </row>
    <row r="57" spans="1:12" x14ac:dyDescent="0.2">
      <c r="J57"/>
      <c r="K57"/>
      <c r="L57"/>
    </row>
    <row r="58" spans="1:12" x14ac:dyDescent="0.2">
      <c r="J58"/>
      <c r="K58"/>
      <c r="L58"/>
    </row>
    <row r="59" spans="1:12" x14ac:dyDescent="0.2">
      <c r="J59"/>
      <c r="K59"/>
      <c r="L59"/>
    </row>
    <row r="60" spans="1:12" x14ac:dyDescent="0.2">
      <c r="J60"/>
      <c r="K60"/>
      <c r="L60"/>
    </row>
  </sheetData>
  <mergeCells count="1">
    <mergeCell ref="C1:M1"/>
  </mergeCells>
  <printOptions horizontalCentered="1"/>
  <pageMargins left="0.5" right="0.5" top="0.5" bottom="0.5" header="0" footer="0"/>
  <pageSetup scale="9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showGridLines="0" workbookViewId="0">
      <selection activeCell="R34" sqref="R34"/>
    </sheetView>
  </sheetViews>
  <sheetFormatPr defaultColWidth="8.85546875" defaultRowHeight="12.75" x14ac:dyDescent="0.2"/>
  <cols>
    <col min="1" max="7" width="8.28515625" style="94" customWidth="1"/>
    <col min="8" max="8" width="4.85546875" style="94" customWidth="1"/>
    <col min="9" max="14" width="8.28515625" style="94" customWidth="1"/>
    <col min="15" max="15" width="13.140625" style="94" customWidth="1"/>
    <col min="16" max="19" width="8.28515625" style="94" customWidth="1"/>
    <col min="20" max="16384" width="8.85546875" style="94"/>
  </cols>
  <sheetData>
    <row r="1" spans="1:15" ht="15.75" x14ac:dyDescent="0.25">
      <c r="C1" s="161" t="s">
        <v>11</v>
      </c>
      <c r="D1" s="161"/>
      <c r="E1" s="161"/>
      <c r="F1" s="161"/>
      <c r="G1" s="161"/>
      <c r="H1" s="161"/>
      <c r="I1" s="161"/>
      <c r="J1" s="161"/>
      <c r="K1" s="161"/>
      <c r="L1" s="161"/>
      <c r="M1" s="161"/>
    </row>
    <row r="2" spans="1:15" x14ac:dyDescent="0.2">
      <c r="C2" s="119" t="str">
        <f>Table!A7</f>
        <v>NordAq Energy Inc.</v>
      </c>
      <c r="K2" s="11" t="str">
        <f>Table!L7</f>
        <v>Sample Number:</v>
      </c>
      <c r="O2" s="25" t="str">
        <f>Table!$P$7</f>
        <v>1</v>
      </c>
    </row>
    <row r="3" spans="1:15" x14ac:dyDescent="0.2">
      <c r="C3" s="119" t="str">
        <f>Table!A8</f>
        <v>East Simpson No. 2 (USGS/Husky 1980)</v>
      </c>
      <c r="K3" s="11" t="str">
        <f>Table!L8</f>
        <v>Sample Depth, m:</v>
      </c>
      <c r="O3" s="40">
        <f>Table!$P$8</f>
        <v>6061.5</v>
      </c>
    </row>
    <row r="4" spans="1:15" x14ac:dyDescent="0.2">
      <c r="C4" s="119" t="str">
        <f>Table!A9</f>
        <v>Torok Sandstones Formation</v>
      </c>
      <c r="K4" s="11" t="str">
        <f>Table!L9</f>
        <v>Permeability to Air (calc), mD:</v>
      </c>
      <c r="M4" s="8"/>
      <c r="N4" s="8"/>
      <c r="O4" s="56">
        <f>Table!$P$9</f>
        <v>0.82053953772495258</v>
      </c>
    </row>
    <row r="5" spans="1:15" x14ac:dyDescent="0.2">
      <c r="C5" s="119" t="str">
        <f>Table!A10</f>
        <v>HH-61176</v>
      </c>
      <c r="D5" s="143"/>
      <c r="E5" s="143"/>
      <c r="F5" s="135"/>
      <c r="G5" s="143"/>
      <c r="K5" s="11" t="str">
        <f>Table!L10</f>
        <v>Porosity, fraction:</v>
      </c>
      <c r="M5" s="8"/>
      <c r="N5" s="8"/>
      <c r="O5" s="56">
        <f>Table!$P$10</f>
        <v>0.12827040818845631</v>
      </c>
    </row>
    <row r="6" spans="1:15" x14ac:dyDescent="0.2">
      <c r="A6" s="8"/>
      <c r="C6" s="119"/>
      <c r="D6" s="22"/>
      <c r="E6" s="22"/>
      <c r="F6" s="22"/>
      <c r="G6" s="8"/>
      <c r="K6" s="11" t="str">
        <f>Table!L11</f>
        <v>Grain Density, grams/cc:</v>
      </c>
      <c r="M6" s="22"/>
      <c r="N6" s="22"/>
      <c r="O6" s="135">
        <f>Table!$P$11</f>
        <v>2.6700868871346555</v>
      </c>
    </row>
    <row r="7" spans="1:15" x14ac:dyDescent="0.2">
      <c r="B7" s="119"/>
      <c r="D7" s="8"/>
      <c r="E7" s="8"/>
      <c r="I7" s="11"/>
      <c r="K7" s="22"/>
      <c r="L7" s="149"/>
      <c r="M7" s="5"/>
    </row>
    <row r="8" spans="1:15" x14ac:dyDescent="0.2">
      <c r="B8" s="8"/>
      <c r="C8" s="8"/>
      <c r="D8" s="8"/>
      <c r="E8" s="8"/>
      <c r="F8" s="8"/>
    </row>
    <row r="9" spans="1:15" x14ac:dyDescent="0.2">
      <c r="B9" s="8"/>
      <c r="C9" s="8"/>
      <c r="D9" s="8"/>
      <c r="E9" s="8"/>
      <c r="F9" s="8"/>
      <c r="K9" s="22"/>
      <c r="L9" s="149"/>
    </row>
    <row r="10" spans="1:15" x14ac:dyDescent="0.2">
      <c r="B10" s="8"/>
      <c r="C10" s="8"/>
      <c r="D10" s="22"/>
      <c r="E10" s="8"/>
      <c r="F10" s="8"/>
      <c r="K10" s="22"/>
      <c r="L10" s="149"/>
    </row>
    <row r="11" spans="1:15" x14ac:dyDescent="0.2">
      <c r="B11" s="8"/>
      <c r="C11" s="8"/>
      <c r="D11" s="22"/>
      <c r="E11" s="8"/>
      <c r="F11" s="8"/>
      <c r="G11" s="11"/>
      <c r="H11" s="8"/>
      <c r="I11" s="8"/>
      <c r="J11" s="56"/>
      <c r="K11" s="22"/>
      <c r="L11" s="149"/>
    </row>
    <row r="12" spans="1:15" x14ac:dyDescent="0.2">
      <c r="A12" s="119"/>
      <c r="B12" s="8"/>
      <c r="C12" s="8"/>
      <c r="D12" s="8"/>
      <c r="E12" s="8"/>
      <c r="F12" s="8"/>
      <c r="G12" s="8"/>
      <c r="H12" s="8"/>
      <c r="I12" s="156"/>
      <c r="J12" s="22"/>
      <c r="K12" s="22"/>
      <c r="L12" s="149"/>
    </row>
    <row r="13" spans="1:15" x14ac:dyDescent="0.2">
      <c r="A13" s="92"/>
      <c r="B13" s="92"/>
      <c r="C13" s="92"/>
      <c r="D13" s="92"/>
      <c r="E13" s="92"/>
      <c r="F13" s="82"/>
      <c r="G13" s="82"/>
      <c r="H13" s="82"/>
      <c r="I13" s="82"/>
      <c r="J13" s="82"/>
      <c r="K13" s="22"/>
      <c r="L13" s="149"/>
    </row>
    <row r="14" spans="1:15" x14ac:dyDescent="0.2">
      <c r="A14" s="92"/>
      <c r="B14" s="92"/>
      <c r="C14" s="92"/>
      <c r="D14" s="92"/>
      <c r="E14" s="92"/>
      <c r="F14" s="92"/>
      <c r="G14" s="92"/>
      <c r="H14" s="92"/>
      <c r="I14" s="82"/>
      <c r="J14" s="82"/>
      <c r="K14" s="8"/>
      <c r="L14" s="149"/>
    </row>
    <row r="15" spans="1:15" x14ac:dyDescent="0.2">
      <c r="A15" s="92"/>
      <c r="B15" s="92"/>
      <c r="C15" s="92"/>
      <c r="D15" s="92"/>
      <c r="E15" s="92"/>
      <c r="F15" s="92"/>
      <c r="G15" s="92"/>
      <c r="H15" s="92"/>
      <c r="I15" s="82"/>
      <c r="J15" s="82"/>
      <c r="K15" s="8"/>
      <c r="L15" s="149"/>
    </row>
    <row r="16" spans="1:15" x14ac:dyDescent="0.2">
      <c r="A16" s="106"/>
      <c r="B16" s="106"/>
      <c r="C16" s="106"/>
      <c r="D16" s="106"/>
      <c r="E16" s="106"/>
      <c r="F16" s="106"/>
      <c r="G16" s="106"/>
      <c r="H16" s="106"/>
      <c r="I16" s="106"/>
      <c r="J16" s="106"/>
      <c r="K16" s="8"/>
      <c r="L16" s="65"/>
    </row>
    <row r="17" spans="1:12" x14ac:dyDescent="0.2">
      <c r="A17" s="152"/>
      <c r="B17" s="9"/>
      <c r="C17" s="9"/>
      <c r="D17" s="113"/>
      <c r="E17" s="159"/>
      <c r="F17" s="145"/>
      <c r="G17" s="145"/>
      <c r="H17" s="145"/>
      <c r="I17" s="145"/>
      <c r="J17" s="145"/>
      <c r="K17" s="8"/>
      <c r="L17" s="65"/>
    </row>
    <row r="18" spans="1:12" x14ac:dyDescent="0.2">
      <c r="A18" s="1"/>
      <c r="B18" s="9"/>
      <c r="C18" s="9"/>
      <c r="D18" s="113"/>
      <c r="E18" s="159"/>
      <c r="F18" s="145"/>
      <c r="G18" s="145"/>
      <c r="H18" s="145"/>
      <c r="I18" s="145"/>
      <c r="J18" s="145"/>
      <c r="K18" s="8"/>
      <c r="L18" s="65"/>
    </row>
    <row r="19" spans="1:12" x14ac:dyDescent="0.2">
      <c r="A19" s="1"/>
      <c r="B19" s="9"/>
      <c r="C19" s="9"/>
      <c r="D19" s="113"/>
      <c r="E19" s="159"/>
      <c r="F19" s="145"/>
      <c r="G19" s="145"/>
      <c r="H19" s="145"/>
      <c r="I19" s="145"/>
      <c r="J19" s="145"/>
      <c r="K19" s="8"/>
      <c r="L19" s="106"/>
    </row>
    <row r="20" spans="1:12" x14ac:dyDescent="0.2">
      <c r="A20" s="1"/>
      <c r="B20" s="9"/>
      <c r="C20" s="9"/>
      <c r="D20" s="113"/>
      <c r="E20" s="159"/>
      <c r="F20" s="145"/>
      <c r="G20" s="145"/>
      <c r="H20" s="145"/>
      <c r="I20" s="145"/>
      <c r="J20" s="145"/>
      <c r="K20" s="8"/>
      <c r="L20" s="124"/>
    </row>
    <row r="21" spans="1:12" x14ac:dyDescent="0.2">
      <c r="A21" s="1"/>
      <c r="B21" s="9"/>
      <c r="C21" s="9"/>
      <c r="D21" s="113"/>
      <c r="E21" s="159"/>
      <c r="F21" s="145"/>
      <c r="G21" s="145"/>
      <c r="H21" s="145"/>
      <c r="I21" s="145"/>
      <c r="J21" s="145"/>
      <c r="K21" s="8"/>
      <c r="L21" s="124"/>
    </row>
    <row r="22" spans="1:12" x14ac:dyDescent="0.2">
      <c r="A22" s="1"/>
      <c r="B22" s="9"/>
      <c r="C22" s="9"/>
      <c r="D22" s="113"/>
      <c r="E22" s="159"/>
      <c r="F22" s="145"/>
      <c r="G22" s="145"/>
      <c r="H22" s="145"/>
      <c r="I22" s="145"/>
      <c r="J22" s="145"/>
      <c r="K22" s="8"/>
      <c r="L22" s="124"/>
    </row>
    <row r="23" spans="1:12" x14ac:dyDescent="0.2">
      <c r="A23" s="66"/>
      <c r="B23" s="9"/>
      <c r="C23" s="9"/>
      <c r="D23" s="113"/>
      <c r="E23" s="159"/>
      <c r="F23" s="145"/>
      <c r="G23" s="145"/>
      <c r="H23" s="145"/>
      <c r="I23" s="145"/>
      <c r="J23" s="145"/>
      <c r="K23" s="8"/>
      <c r="L23" s="124"/>
    </row>
    <row r="24" spans="1:12" x14ac:dyDescent="0.2">
      <c r="A24" s="66"/>
      <c r="B24" s="9"/>
      <c r="C24" s="9"/>
      <c r="D24" s="113"/>
      <c r="E24" s="159"/>
      <c r="F24" s="145"/>
      <c r="G24" s="145"/>
      <c r="H24" s="145"/>
      <c r="I24" s="145"/>
      <c r="J24" s="145"/>
      <c r="K24" s="8"/>
      <c r="L24" s="124"/>
    </row>
    <row r="25" spans="1:12" x14ac:dyDescent="0.2">
      <c r="A25" s="66"/>
      <c r="B25" s="9"/>
      <c r="C25" s="9"/>
      <c r="D25" s="113"/>
      <c r="E25" s="159"/>
      <c r="F25" s="145"/>
      <c r="G25" s="145"/>
      <c r="H25" s="145"/>
      <c r="I25" s="145"/>
      <c r="J25" s="145"/>
      <c r="K25" s="8"/>
      <c r="L25" s="124"/>
    </row>
    <row r="26" spans="1:12" x14ac:dyDescent="0.2">
      <c r="A26" s="66"/>
      <c r="B26" s="9"/>
      <c r="C26" s="9"/>
      <c r="D26" s="113"/>
      <c r="E26" s="159"/>
      <c r="F26" s="145"/>
      <c r="G26" s="145"/>
      <c r="H26" s="145"/>
      <c r="I26" s="145"/>
      <c r="J26" s="145"/>
      <c r="K26" s="8"/>
      <c r="L26" s="124"/>
    </row>
    <row r="27" spans="1:12" x14ac:dyDescent="0.2">
      <c r="A27" s="66"/>
      <c r="B27" s="9"/>
      <c r="C27" s="9"/>
      <c r="D27" s="113"/>
      <c r="E27" s="159"/>
      <c r="F27" s="145"/>
      <c r="G27" s="145"/>
      <c r="H27" s="145"/>
      <c r="I27" s="145"/>
      <c r="J27" s="145"/>
      <c r="K27" s="8"/>
      <c r="L27" s="124"/>
    </row>
    <row r="28" spans="1:12" x14ac:dyDescent="0.2">
      <c r="A28" s="19"/>
      <c r="B28" s="9"/>
      <c r="C28" s="9"/>
      <c r="D28" s="113"/>
      <c r="E28" s="159"/>
      <c r="F28" s="145"/>
      <c r="G28" s="145"/>
      <c r="H28" s="145"/>
      <c r="I28" s="145"/>
      <c r="J28" s="145"/>
      <c r="K28" s="8"/>
      <c r="L28" s="124"/>
    </row>
    <row r="29" spans="1:12" x14ac:dyDescent="0.2">
      <c r="A29" s="19"/>
      <c r="B29" s="9"/>
      <c r="C29" s="9"/>
      <c r="D29" s="113"/>
      <c r="E29" s="159"/>
      <c r="F29" s="145"/>
      <c r="G29" s="145"/>
      <c r="H29" s="145"/>
      <c r="I29" s="145"/>
      <c r="J29" s="145"/>
      <c r="K29" s="8"/>
      <c r="L29" s="124"/>
    </row>
    <row r="30" spans="1:12" x14ac:dyDescent="0.2">
      <c r="A30" s="19"/>
      <c r="B30" s="9"/>
      <c r="C30" s="9"/>
      <c r="D30" s="113"/>
      <c r="E30" s="159"/>
      <c r="F30" s="145"/>
      <c r="G30" s="145"/>
      <c r="H30" s="145"/>
      <c r="I30" s="145"/>
      <c r="J30" s="145"/>
      <c r="K30" s="8"/>
      <c r="L30" s="124"/>
    </row>
    <row r="31" spans="1:12" x14ac:dyDescent="0.2">
      <c r="A31" s="19"/>
      <c r="B31" s="9"/>
      <c r="C31" s="9"/>
      <c r="D31" s="113"/>
      <c r="E31" s="159"/>
      <c r="F31" s="145"/>
      <c r="G31" s="145"/>
      <c r="H31" s="145"/>
      <c r="I31" s="145"/>
      <c r="J31" s="145"/>
      <c r="K31" s="8"/>
      <c r="L31" s="124"/>
    </row>
    <row r="32" spans="1:12" x14ac:dyDescent="0.2">
      <c r="A32" s="19"/>
      <c r="B32" s="9"/>
      <c r="C32" s="9"/>
      <c r="D32" s="113"/>
      <c r="E32" s="159"/>
      <c r="F32" s="145"/>
      <c r="G32" s="145"/>
      <c r="H32" s="145"/>
      <c r="I32" s="145"/>
      <c r="J32" s="145"/>
      <c r="K32" s="8"/>
      <c r="L32" s="124"/>
    </row>
    <row r="33" spans="1:13" x14ac:dyDescent="0.2">
      <c r="A33" s="111"/>
      <c r="B33" s="9"/>
      <c r="C33" s="9"/>
      <c r="D33" s="113"/>
      <c r="E33" s="159"/>
      <c r="F33" s="145"/>
      <c r="G33" s="145"/>
      <c r="H33" s="145"/>
      <c r="I33" s="145"/>
      <c r="J33" s="145"/>
      <c r="K33" s="8"/>
      <c r="L33" s="124"/>
    </row>
    <row r="34" spans="1:13" x14ac:dyDescent="0.2">
      <c r="A34" s="111"/>
      <c r="B34" s="9"/>
      <c r="C34" s="9"/>
      <c r="D34" s="113"/>
      <c r="E34" s="159"/>
      <c r="F34" s="145"/>
      <c r="G34" s="145"/>
      <c r="H34" s="145"/>
      <c r="I34" s="145"/>
      <c r="J34" s="145"/>
      <c r="K34" s="8"/>
      <c r="L34" s="124"/>
    </row>
    <row r="35" spans="1:13" x14ac:dyDescent="0.2">
      <c r="A35" s="111"/>
      <c r="B35" s="9"/>
      <c r="C35" s="9"/>
      <c r="D35" s="113"/>
      <c r="E35" s="159"/>
      <c r="F35" s="145"/>
      <c r="G35" s="145"/>
      <c r="H35" s="145"/>
      <c r="I35" s="145"/>
      <c r="J35" s="145"/>
      <c r="K35" s="8"/>
      <c r="L35" s="124"/>
    </row>
    <row r="36" spans="1:13" x14ac:dyDescent="0.2">
      <c r="A36" s="111"/>
      <c r="B36" s="9"/>
      <c r="C36" s="9"/>
      <c r="D36" s="113"/>
      <c r="E36" s="159"/>
      <c r="F36" s="145"/>
      <c r="G36" s="145"/>
      <c r="H36" s="145"/>
      <c r="I36" s="145"/>
      <c r="J36" s="145"/>
      <c r="K36" s="8"/>
      <c r="L36" s="124"/>
    </row>
    <row r="37" spans="1:13" x14ac:dyDescent="0.2">
      <c r="A37" s="111"/>
      <c r="B37" s="9"/>
      <c r="C37" s="9"/>
      <c r="D37" s="113"/>
      <c r="E37" s="159"/>
      <c r="F37" s="145"/>
      <c r="G37" s="145"/>
      <c r="H37" s="145"/>
      <c r="I37" s="145"/>
      <c r="J37" s="145"/>
      <c r="K37"/>
      <c r="L37"/>
      <c r="M37"/>
    </row>
    <row r="38" spans="1:13" x14ac:dyDescent="0.2">
      <c r="A38" s="111"/>
      <c r="B38" s="9"/>
      <c r="C38" s="9"/>
      <c r="D38" s="113"/>
      <c r="E38" s="159"/>
      <c r="F38" s="145"/>
      <c r="G38" s="145"/>
      <c r="H38" s="145"/>
      <c r="I38" s="145"/>
      <c r="J38" s="145"/>
      <c r="K38"/>
      <c r="L38"/>
      <c r="M38"/>
    </row>
    <row r="39" spans="1:13" x14ac:dyDescent="0.2">
      <c r="A39" s="111"/>
      <c r="B39" s="9"/>
      <c r="C39" s="9"/>
      <c r="D39" s="113"/>
      <c r="E39" s="159"/>
      <c r="F39" s="145"/>
      <c r="G39" s="145"/>
      <c r="H39" s="145"/>
      <c r="I39" s="145"/>
      <c r="J39" s="145"/>
      <c r="K39"/>
      <c r="L39"/>
      <c r="M39"/>
    </row>
    <row r="40" spans="1:13" x14ac:dyDescent="0.2">
      <c r="A40" s="111"/>
      <c r="B40" s="9"/>
      <c r="C40" s="9"/>
      <c r="D40" s="113"/>
      <c r="E40" s="159"/>
      <c r="F40" s="145"/>
      <c r="G40" s="145"/>
      <c r="H40" s="145"/>
      <c r="I40" s="145"/>
      <c r="J40" s="145"/>
      <c r="K40"/>
      <c r="L40"/>
      <c r="M40"/>
    </row>
    <row r="41" spans="1:13" x14ac:dyDescent="0.2">
      <c r="A41" s="111"/>
      <c r="B41" s="9"/>
      <c r="C41" s="9"/>
      <c r="D41" s="113"/>
      <c r="E41" s="159"/>
      <c r="F41" s="145"/>
      <c r="G41" s="145"/>
      <c r="H41" s="145"/>
      <c r="I41" s="145"/>
      <c r="J41" s="145"/>
      <c r="K41"/>
      <c r="L41"/>
      <c r="M41"/>
    </row>
    <row r="42" spans="1:13" x14ac:dyDescent="0.2">
      <c r="A42" s="111"/>
      <c r="B42" s="9"/>
      <c r="C42" s="9"/>
      <c r="D42" s="113"/>
      <c r="E42" s="159"/>
      <c r="F42" s="145"/>
      <c r="G42" s="145"/>
      <c r="H42" s="145"/>
      <c r="I42" s="145"/>
      <c r="J42" s="145"/>
      <c r="K42" s="8"/>
      <c r="L42" s="124"/>
    </row>
    <row r="43" spans="1:13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</row>
    <row r="44" spans="1:13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</row>
    <row r="45" spans="1:13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</row>
    <row r="46" spans="1:13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</row>
    <row r="47" spans="1:13" x14ac:dyDescent="0.2">
      <c r="A47" s="16"/>
      <c r="B47" s="16"/>
      <c r="C47" s="16"/>
      <c r="D47" s="16"/>
      <c r="E47" s="16"/>
      <c r="F47" s="16"/>
      <c r="G47" s="16"/>
    </row>
    <row r="48" spans="1:13" x14ac:dyDescent="0.2">
      <c r="A48" s="16"/>
      <c r="B48" s="16"/>
      <c r="C48" s="16"/>
      <c r="D48" s="16"/>
      <c r="E48" s="16"/>
      <c r="F48" s="16"/>
      <c r="G48" s="16"/>
    </row>
    <row r="55" spans="10:12" x14ac:dyDescent="0.2">
      <c r="J55"/>
      <c r="K55"/>
      <c r="L55"/>
    </row>
    <row r="56" spans="10:12" x14ac:dyDescent="0.2">
      <c r="J56"/>
      <c r="K56"/>
      <c r="L56"/>
    </row>
    <row r="57" spans="10:12" x14ac:dyDescent="0.2">
      <c r="J57"/>
      <c r="K57"/>
      <c r="L57"/>
    </row>
    <row r="58" spans="10:12" x14ac:dyDescent="0.2">
      <c r="J58"/>
      <c r="K58"/>
      <c r="L58"/>
    </row>
    <row r="59" spans="10:12" x14ac:dyDescent="0.2">
      <c r="J59"/>
      <c r="K59"/>
      <c r="L59"/>
    </row>
  </sheetData>
  <mergeCells count="1">
    <mergeCell ref="C1:M1"/>
  </mergeCells>
  <printOptions horizontalCentered="1"/>
  <pageMargins left="0.5" right="0.5" top="0.5" bottom="0.5" header="0" footer="0"/>
  <pageSetup scale="74"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AV190"/>
  <sheetViews>
    <sheetView showGridLines="0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11" sqref="A11"/>
    </sheetView>
  </sheetViews>
  <sheetFormatPr defaultColWidth="8.85546875" defaultRowHeight="12.75" x14ac:dyDescent="0.2"/>
  <cols>
    <col min="1" max="2" width="8.85546875" style="94"/>
    <col min="3" max="3" width="11.140625" style="94" customWidth="1"/>
    <col min="4" max="4" width="16.28515625" style="94" customWidth="1"/>
    <col min="5" max="8" width="10.85546875" style="94" customWidth="1"/>
    <col min="9" max="9" width="11.140625" style="94" customWidth="1"/>
    <col min="10" max="10" width="11.85546875" style="94" customWidth="1"/>
    <col min="11" max="11" width="9.85546875" style="94" bestFit="1" customWidth="1"/>
    <col min="12" max="12" width="10.5703125" style="94" customWidth="1"/>
    <col min="13" max="14" width="10.5703125" style="94" bestFit="1" customWidth="1"/>
    <col min="15" max="15" width="8.85546875" style="94" customWidth="1"/>
    <col min="16" max="16" width="10.5703125" style="94" bestFit="1" customWidth="1"/>
    <col min="17" max="17" width="9.5703125" style="94" customWidth="1"/>
    <col min="18" max="18" width="8.85546875" style="94" customWidth="1"/>
    <col min="19" max="19" width="10.85546875" style="94" customWidth="1"/>
    <col min="20" max="20" width="11.140625" style="94" customWidth="1"/>
    <col min="21" max="21" width="9.28515625" style="94" customWidth="1"/>
    <col min="22" max="22" width="10.7109375" style="94" customWidth="1"/>
    <col min="23" max="23" width="10.5703125" style="94" customWidth="1"/>
    <col min="24" max="24" width="11" style="94" customWidth="1"/>
    <col min="25" max="25" width="9.140625"/>
    <col min="26" max="26" width="13" style="94" customWidth="1"/>
    <col min="27" max="28" width="8.85546875" style="94"/>
    <col min="29" max="29" width="12.140625" style="94" bestFit="1" customWidth="1"/>
    <col min="30" max="39" width="8.85546875" style="94"/>
    <col min="40" max="40" width="15.85546875" style="94" customWidth="1"/>
    <col min="41" max="43" width="8.85546875" style="94"/>
    <col min="44" max="48" width="8.85546875" style="16"/>
    <col min="49" max="16384" width="8.85546875" style="94"/>
  </cols>
  <sheetData>
    <row r="1" spans="1:48" x14ac:dyDescent="0.2">
      <c r="P1" s="114"/>
      <c r="Q1" s="114"/>
      <c r="Z1" s="18" t="s">
        <v>51</v>
      </c>
      <c r="AA1" s="110"/>
      <c r="AB1" s="110"/>
      <c r="AC1" s="128"/>
      <c r="AD1" s="128"/>
    </row>
    <row r="2" spans="1:48" x14ac:dyDescent="0.2">
      <c r="Z2" s="29"/>
      <c r="AA2" s="148"/>
      <c r="AB2" s="109" t="s">
        <v>67</v>
      </c>
      <c r="AC2" s="109" t="s">
        <v>52</v>
      </c>
      <c r="AD2" s="125" t="s">
        <v>0</v>
      </c>
      <c r="AE2" s="34" t="s">
        <v>29</v>
      </c>
    </row>
    <row r="3" spans="1:48" x14ac:dyDescent="0.2">
      <c r="P3" s="64"/>
      <c r="Q3" s="64"/>
      <c r="Z3" s="139" t="s">
        <v>83</v>
      </c>
      <c r="AA3" s="106"/>
      <c r="AB3" s="131">
        <v>130</v>
      </c>
      <c r="AC3" s="65"/>
      <c r="AD3" s="52"/>
      <c r="AE3" s="76"/>
    </row>
    <row r="4" spans="1:48" x14ac:dyDescent="0.2">
      <c r="Z4" s="139" t="s">
        <v>22</v>
      </c>
      <c r="AA4" s="106"/>
      <c r="AB4" s="131">
        <v>485</v>
      </c>
      <c r="AC4" s="65"/>
      <c r="AD4" s="52"/>
      <c r="AE4" s="76"/>
      <c r="AN4" s="169" t="s">
        <v>31</v>
      </c>
      <c r="AO4" s="170"/>
      <c r="AP4" s="171"/>
      <c r="AR4" s="168"/>
      <c r="AS4" s="168"/>
      <c r="AT4" s="168"/>
    </row>
    <row r="5" spans="1:48" ht="15.75" x14ac:dyDescent="0.25">
      <c r="A5" s="161" t="s">
        <v>11</v>
      </c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1"/>
      <c r="N5" s="161"/>
      <c r="O5" s="161"/>
      <c r="P5" s="161"/>
      <c r="Q5" s="110"/>
      <c r="R5" s="22"/>
      <c r="S5" s="22"/>
      <c r="T5" s="22"/>
      <c r="U5" s="22"/>
      <c r="V5" s="22"/>
      <c r="W5" s="22"/>
      <c r="X5" s="22"/>
      <c r="Z5" s="139" t="s">
        <v>32</v>
      </c>
      <c r="AA5" s="106"/>
      <c r="AB5" s="65"/>
      <c r="AC5" s="30">
        <v>0</v>
      </c>
      <c r="AD5" s="30">
        <v>0</v>
      </c>
      <c r="AE5" s="147">
        <v>30</v>
      </c>
      <c r="AN5" s="61" t="s">
        <v>45</v>
      </c>
      <c r="AO5" s="61" t="s">
        <v>34</v>
      </c>
      <c r="AP5" s="61" t="s">
        <v>56</v>
      </c>
      <c r="AR5" s="101"/>
      <c r="AS5" s="101"/>
      <c r="AT5" s="101"/>
    </row>
    <row r="6" spans="1:48" x14ac:dyDescent="0.2">
      <c r="A6" s="8"/>
      <c r="B6" s="22"/>
      <c r="C6" s="22"/>
      <c r="D6" s="8"/>
      <c r="E6" s="8"/>
      <c r="F6" s="8"/>
      <c r="G6" s="8"/>
      <c r="H6" s="8"/>
      <c r="I6" s="8"/>
      <c r="J6" s="8"/>
      <c r="K6" s="22"/>
      <c r="L6" s="22"/>
      <c r="M6" s="22"/>
      <c r="N6" s="8"/>
      <c r="O6" s="22"/>
      <c r="P6" s="22"/>
      <c r="Q6" s="22"/>
      <c r="R6" s="22"/>
      <c r="S6" s="22"/>
      <c r="T6" s="22"/>
      <c r="U6" s="22"/>
      <c r="V6" s="22"/>
      <c r="W6" s="22"/>
      <c r="X6" s="22"/>
      <c r="Z6" s="139" t="s">
        <v>30</v>
      </c>
      <c r="AA6" s="106"/>
      <c r="AB6" s="65"/>
      <c r="AC6" s="88">
        <v>70</v>
      </c>
      <c r="AD6" s="131">
        <v>24</v>
      </c>
      <c r="AE6" s="73">
        <v>35</v>
      </c>
      <c r="AN6" s="105" t="s">
        <v>47</v>
      </c>
      <c r="AO6" s="105" t="s">
        <v>26</v>
      </c>
      <c r="AP6" s="105" t="s">
        <v>26</v>
      </c>
      <c r="AR6" s="101"/>
      <c r="AS6" s="101"/>
      <c r="AT6" s="101"/>
    </row>
    <row r="7" spans="1:48" ht="12.4" customHeight="1" x14ac:dyDescent="0.2">
      <c r="A7" s="4" t="s">
        <v>93</v>
      </c>
      <c r="B7" s="8"/>
      <c r="C7" s="8"/>
      <c r="D7" s="22"/>
      <c r="E7" s="22"/>
      <c r="F7" s="22"/>
      <c r="G7" s="22"/>
      <c r="H7" s="22"/>
      <c r="I7" s="22"/>
      <c r="J7" s="22"/>
      <c r="K7" s="8"/>
      <c r="L7" s="94" t="s">
        <v>41</v>
      </c>
      <c r="P7" s="25" t="s">
        <v>23</v>
      </c>
      <c r="Q7" s="25"/>
      <c r="R7" s="22"/>
      <c r="S7" s="22"/>
      <c r="T7" s="22"/>
      <c r="U7" s="22"/>
      <c r="V7" s="22"/>
      <c r="W7" s="22"/>
      <c r="X7" s="22"/>
      <c r="Z7" s="132" t="s">
        <v>25</v>
      </c>
      <c r="AA7" s="89"/>
      <c r="AB7" s="48"/>
      <c r="AC7" s="88">
        <v>0</v>
      </c>
      <c r="AD7" s="91"/>
      <c r="AE7" s="73">
        <v>30</v>
      </c>
      <c r="AN7" s="138" t="s">
        <v>82</v>
      </c>
      <c r="AO7" s="130">
        <v>1</v>
      </c>
      <c r="AP7" s="130">
        <f t="shared" ref="AP7:AP27" si="0">AO7-AO8</f>
        <v>0</v>
      </c>
      <c r="AR7" s="57" t="s">
        <v>82</v>
      </c>
      <c r="AS7" s="157"/>
      <c r="AT7" s="157"/>
      <c r="AU7" s="23"/>
      <c r="AV7" s="23"/>
    </row>
    <row r="8" spans="1:48" ht="12.4" customHeight="1" x14ac:dyDescent="0.2">
      <c r="A8" s="4" t="s">
        <v>94</v>
      </c>
      <c r="B8" s="8"/>
      <c r="C8" s="8"/>
      <c r="D8" s="8"/>
      <c r="E8" s="8"/>
      <c r="F8" s="8"/>
      <c r="G8" s="8"/>
      <c r="H8" s="8"/>
      <c r="I8" s="8"/>
      <c r="J8" s="8"/>
      <c r="K8" s="8"/>
      <c r="L8" s="94" t="s">
        <v>92</v>
      </c>
      <c r="P8" s="40">
        <v>6061.5</v>
      </c>
      <c r="Q8" s="120"/>
      <c r="R8" s="22"/>
      <c r="S8" s="22"/>
      <c r="T8" s="22"/>
      <c r="U8" s="22"/>
      <c r="V8" s="22"/>
      <c r="W8" s="22"/>
      <c r="X8" s="22"/>
      <c r="Z8" s="35" t="s">
        <v>81</v>
      </c>
      <c r="AA8" s="95"/>
      <c r="AB8" s="53"/>
      <c r="AC8" s="33">
        <v>50</v>
      </c>
      <c r="AD8" s="38"/>
      <c r="AE8" s="116">
        <v>25</v>
      </c>
      <c r="AN8" s="15">
        <f>E135</f>
        <v>1.6734220716572467E-3</v>
      </c>
      <c r="AO8" s="130">
        <f>B135</f>
        <v>1</v>
      </c>
      <c r="AP8" s="130">
        <f t="shared" si="0"/>
        <v>2.8403039125202145E-4</v>
      </c>
      <c r="AR8" s="98">
        <v>1.8387307309880479E-3</v>
      </c>
      <c r="AS8" s="157"/>
      <c r="AT8" s="157"/>
      <c r="AU8" s="112"/>
      <c r="AV8" s="118"/>
    </row>
    <row r="9" spans="1:48" ht="12.4" customHeight="1" x14ac:dyDescent="0.2">
      <c r="A9" s="119" t="s">
        <v>95</v>
      </c>
      <c r="B9" s="8"/>
      <c r="C9" s="8"/>
      <c r="D9" s="8"/>
      <c r="E9" s="8"/>
      <c r="F9" s="8"/>
      <c r="G9" s="8"/>
      <c r="H9" s="8"/>
      <c r="I9" s="8"/>
      <c r="J9" s="8"/>
      <c r="K9" s="8"/>
      <c r="L9" s="11" t="s">
        <v>75</v>
      </c>
      <c r="N9" s="8"/>
      <c r="O9" s="8"/>
      <c r="P9" s="160">
        <f>MAX(V18:V136)</f>
        <v>0.82053953772495258</v>
      </c>
      <c r="Q9" s="45"/>
      <c r="R9" s="22"/>
      <c r="S9" s="22"/>
      <c r="T9" s="22"/>
      <c r="U9" s="22"/>
      <c r="V9" s="22"/>
      <c r="W9" s="22"/>
      <c r="X9" s="22"/>
      <c r="Z9" s="153" t="s">
        <v>10</v>
      </c>
      <c r="AA9" s="89"/>
      <c r="AB9" s="89"/>
      <c r="AC9" s="2">
        <f>ABS($AC$6*COS($AC$5*PI()/180))</f>
        <v>70</v>
      </c>
      <c r="AD9" s="2">
        <f>ABS($AD$6*COS($AD$5*PI()/180))</f>
        <v>24</v>
      </c>
      <c r="AE9" s="21">
        <f>ABS($AE$6*COS($AE$5*PI()/180))</f>
        <v>30.310889132455355</v>
      </c>
      <c r="AN9" s="15">
        <f>E133</f>
        <v>2.0024828087936717E-3</v>
      </c>
      <c r="AO9" s="130">
        <f>B133</f>
        <v>0.99971596960874798</v>
      </c>
      <c r="AP9" s="130">
        <f t="shared" si="0"/>
        <v>8.6629269331818248E-3</v>
      </c>
      <c r="AR9" s="98">
        <v>2.3796891258599209E-3</v>
      </c>
      <c r="AS9" s="157"/>
      <c r="AT9" s="157"/>
      <c r="AU9" s="112"/>
      <c r="AV9" s="118"/>
    </row>
    <row r="10" spans="1:48" ht="12.4" customHeight="1" x14ac:dyDescent="0.2">
      <c r="A10" s="85" t="s">
        <v>96</v>
      </c>
      <c r="B10" s="8"/>
      <c r="C10" s="8"/>
      <c r="D10" s="22"/>
      <c r="E10" s="22"/>
      <c r="F10" s="22"/>
      <c r="G10" s="22"/>
      <c r="H10" s="22"/>
      <c r="I10" s="22"/>
      <c r="J10" s="22"/>
      <c r="K10" s="8"/>
      <c r="L10" s="11" t="s">
        <v>53</v>
      </c>
      <c r="N10" s="8"/>
      <c r="O10" s="8"/>
      <c r="P10" s="56">
        <f>'Raw Data'!M10</f>
        <v>0.12827040818845631</v>
      </c>
      <c r="Q10" s="56"/>
      <c r="R10" s="22"/>
      <c r="S10" s="22"/>
      <c r="T10" s="22"/>
      <c r="U10" s="22"/>
      <c r="V10" s="22"/>
      <c r="W10" s="22"/>
      <c r="X10" s="22"/>
      <c r="Z10" s="54" t="s">
        <v>61</v>
      </c>
      <c r="AA10" s="95"/>
      <c r="AB10" s="95"/>
      <c r="AC10" s="6">
        <f>ABS($AC$8*COS($AC$7*PI()/180))</f>
        <v>50</v>
      </c>
      <c r="AD10" s="53"/>
      <c r="AE10" s="72">
        <f>ABS($AE$8*COS($AE$7*PI()/180))</f>
        <v>21.650635094610969</v>
      </c>
      <c r="AN10" s="15">
        <f>E125</f>
        <v>4.1113181622104422E-3</v>
      </c>
      <c r="AO10" s="130">
        <f>$B125</f>
        <v>0.99105304267556615</v>
      </c>
      <c r="AP10" s="130">
        <f t="shared" si="0"/>
        <v>1.3562451182276392E-2</v>
      </c>
      <c r="AR10" s="98">
        <v>4.918869133300207E-3</v>
      </c>
      <c r="AS10" s="157"/>
      <c r="AT10" s="157"/>
      <c r="AU10" s="112"/>
      <c r="AV10" s="118"/>
    </row>
    <row r="11" spans="1:48" ht="12.4" customHeight="1" x14ac:dyDescent="0.2">
      <c r="A11" s="85"/>
      <c r="B11" s="8"/>
      <c r="C11" s="8"/>
      <c r="D11" s="22"/>
      <c r="E11" s="22"/>
      <c r="F11" s="22"/>
      <c r="G11" s="22"/>
      <c r="H11" s="22"/>
      <c r="I11" s="22"/>
      <c r="J11" s="22"/>
      <c r="K11" s="8"/>
      <c r="L11" s="94" t="s">
        <v>24</v>
      </c>
      <c r="P11" s="135">
        <f>'Raw Data'!M11</f>
        <v>2.6700868871346555</v>
      </c>
      <c r="Q11" s="135"/>
      <c r="R11" s="22"/>
      <c r="V11" s="22"/>
      <c r="W11" s="22"/>
      <c r="X11" s="22"/>
      <c r="Z11" s="8"/>
      <c r="AA11" s="100" t="s">
        <v>48</v>
      </c>
      <c r="AB11" s="32"/>
      <c r="AC11" s="32"/>
      <c r="AD11" s="137"/>
      <c r="AN11" s="15">
        <f>E120</f>
        <v>6.4132458902197735E-3</v>
      </c>
      <c r="AO11" s="130">
        <f>$B120</f>
        <v>0.97749059149328976</v>
      </c>
      <c r="AP11" s="130">
        <f t="shared" si="0"/>
        <v>1.2852375204146838E-2</v>
      </c>
      <c r="AR11" s="98">
        <v>7.6659819593601552E-3</v>
      </c>
      <c r="AS11" s="157"/>
      <c r="AT11" s="157"/>
      <c r="AU11" s="112"/>
      <c r="AV11" s="118"/>
    </row>
    <row r="12" spans="1:48" ht="12.4" customHeight="1" x14ac:dyDescent="0.2">
      <c r="B12" s="8"/>
      <c r="C12" s="8"/>
      <c r="D12" s="12"/>
      <c r="E12" s="8"/>
      <c r="F12" s="8"/>
      <c r="G12" s="8"/>
      <c r="H12" s="8"/>
      <c r="I12" s="8"/>
      <c r="J12" s="8"/>
      <c r="K12" s="8"/>
      <c r="L12" s="8"/>
      <c r="M12" s="11"/>
      <c r="N12" s="8"/>
      <c r="O12" s="8"/>
      <c r="P12" s="5"/>
      <c r="Q12" s="5"/>
      <c r="R12" s="22"/>
      <c r="S12" s="22"/>
      <c r="T12" s="22"/>
      <c r="U12" s="22"/>
      <c r="V12" s="22"/>
      <c r="W12" s="22"/>
      <c r="X12" s="22"/>
      <c r="Z12" s="8"/>
      <c r="AA12" s="46" t="s">
        <v>72</v>
      </c>
      <c r="AB12" s="148"/>
      <c r="AC12" s="80">
        <v>0.433</v>
      </c>
      <c r="AD12" s="22"/>
      <c r="AN12" s="130">
        <f>E117</f>
        <v>8.4158751332432027E-3</v>
      </c>
      <c r="AO12" s="130">
        <f>$B117</f>
        <v>0.96463821628914292</v>
      </c>
      <c r="AP12" s="130">
        <f t="shared" si="0"/>
        <v>6.2202655684158281E-2</v>
      </c>
      <c r="AR12" s="157">
        <v>1.0017670706649362E-2</v>
      </c>
      <c r="AS12" s="157"/>
      <c r="AT12" s="157"/>
      <c r="AU12" s="112"/>
      <c r="AV12" s="118"/>
    </row>
    <row r="13" spans="1:48" ht="12.4" customHeight="1" x14ac:dyDescent="0.2">
      <c r="Z13" s="8"/>
      <c r="AA13" s="132" t="s">
        <v>14</v>
      </c>
      <c r="AB13" s="89"/>
      <c r="AC13" s="27">
        <v>0.34599999999999997</v>
      </c>
      <c r="AD13" s="8"/>
      <c r="AN13" s="130">
        <f>E107</f>
        <v>2.0664412664592593E-2</v>
      </c>
      <c r="AO13" s="130">
        <f>$B107</f>
        <v>0.90243556060498464</v>
      </c>
      <c r="AP13" s="130">
        <f t="shared" si="0"/>
        <v>7.1433643399843816E-2</v>
      </c>
      <c r="AR13" s="157">
        <v>2.4302503920103202E-2</v>
      </c>
      <c r="AS13" s="157"/>
      <c r="AT13" s="157"/>
      <c r="AU13" s="112"/>
      <c r="AV13" s="118"/>
    </row>
    <row r="14" spans="1:48" ht="12.4" customHeight="1" x14ac:dyDescent="0.2">
      <c r="A14" s="47" t="s">
        <v>85</v>
      </c>
      <c r="B14" s="47" t="s">
        <v>63</v>
      </c>
      <c r="C14" s="47" t="s">
        <v>46</v>
      </c>
      <c r="D14" s="58" t="s">
        <v>91</v>
      </c>
      <c r="E14" s="47" t="s">
        <v>89</v>
      </c>
      <c r="F14" s="47" t="s">
        <v>89</v>
      </c>
      <c r="G14" s="47" t="s">
        <v>13</v>
      </c>
      <c r="H14" s="47" t="s">
        <v>16</v>
      </c>
      <c r="I14" s="47" t="s">
        <v>68</v>
      </c>
      <c r="J14" s="47" t="s">
        <v>80</v>
      </c>
      <c r="K14" s="47"/>
      <c r="L14" s="123" t="s">
        <v>86</v>
      </c>
      <c r="M14" s="129"/>
      <c r="N14" s="14"/>
      <c r="O14" s="123" t="s">
        <v>17</v>
      </c>
      <c r="P14" s="14"/>
      <c r="Q14" s="14" t="s">
        <v>7</v>
      </c>
      <c r="R14" s="47" t="s">
        <v>63</v>
      </c>
      <c r="S14" s="47" t="s">
        <v>38</v>
      </c>
      <c r="T14" s="47" t="s">
        <v>59</v>
      </c>
      <c r="U14" s="47"/>
      <c r="V14" s="47" t="s">
        <v>28</v>
      </c>
      <c r="W14" s="47" t="s">
        <v>87</v>
      </c>
      <c r="X14" s="47" t="s">
        <v>87</v>
      </c>
      <c r="Z14" s="8"/>
      <c r="AA14" s="35" t="s">
        <v>12</v>
      </c>
      <c r="AB14" s="95"/>
      <c r="AC14" s="142">
        <v>0.1</v>
      </c>
      <c r="AD14" s="8"/>
      <c r="AN14" s="130">
        <f>E99</f>
        <v>4.2481881822258767E-2</v>
      </c>
      <c r="AO14" s="130">
        <f>$B99</f>
        <v>0.83100191720514083</v>
      </c>
      <c r="AP14" s="130">
        <f t="shared" si="0"/>
        <v>4.3101611872470302E-2</v>
      </c>
      <c r="AR14" s="157">
        <v>4.9484801750667114E-2</v>
      </c>
      <c r="AS14" s="157"/>
      <c r="AT14" s="157"/>
      <c r="AU14" s="112"/>
      <c r="AV14" s="118"/>
    </row>
    <row r="15" spans="1:48" ht="12.4" customHeight="1" x14ac:dyDescent="0.2">
      <c r="A15" s="70" t="s">
        <v>78</v>
      </c>
      <c r="B15" s="70" t="s">
        <v>5</v>
      </c>
      <c r="C15" s="70" t="s">
        <v>5</v>
      </c>
      <c r="D15" s="75" t="s">
        <v>70</v>
      </c>
      <c r="E15" s="70" t="s">
        <v>79</v>
      </c>
      <c r="F15" s="70" t="s">
        <v>54</v>
      </c>
      <c r="G15" s="70" t="s">
        <v>33</v>
      </c>
      <c r="H15" s="70" t="s">
        <v>33</v>
      </c>
      <c r="I15" s="70" t="s">
        <v>76</v>
      </c>
      <c r="J15" s="70" t="s">
        <v>76</v>
      </c>
      <c r="K15" s="70" t="s">
        <v>88</v>
      </c>
      <c r="L15" s="47" t="s">
        <v>74</v>
      </c>
      <c r="M15" s="47" t="s">
        <v>4</v>
      </c>
      <c r="N15" s="47" t="s">
        <v>42</v>
      </c>
      <c r="O15" s="121" t="s">
        <v>1</v>
      </c>
      <c r="P15" s="126"/>
      <c r="Q15" s="126" t="s">
        <v>8</v>
      </c>
      <c r="R15" s="70" t="s">
        <v>34</v>
      </c>
      <c r="S15" s="70" t="s">
        <v>44</v>
      </c>
      <c r="T15" s="70" t="s">
        <v>87</v>
      </c>
      <c r="U15" s="70" t="s">
        <v>28</v>
      </c>
      <c r="V15" s="70" t="s">
        <v>87</v>
      </c>
      <c r="W15" s="70" t="s">
        <v>43</v>
      </c>
      <c r="X15" s="70" t="s">
        <v>43</v>
      </c>
      <c r="Z15" s="22"/>
      <c r="AN15" s="130">
        <f>E95</f>
        <v>6.0750023584539362E-2</v>
      </c>
      <c r="AO15" s="130">
        <f>$B95</f>
        <v>0.78790030533267053</v>
      </c>
      <c r="AP15" s="130">
        <f t="shared" si="0"/>
        <v>4.9989348860328131E-2</v>
      </c>
      <c r="AR15" s="157">
        <v>7.1632047862346573E-2</v>
      </c>
      <c r="AS15" s="157"/>
      <c r="AT15" s="157"/>
      <c r="AU15" s="112"/>
      <c r="AV15" s="118"/>
    </row>
    <row r="16" spans="1:48" ht="12.4" customHeight="1" x14ac:dyDescent="0.2">
      <c r="A16" s="97" t="s">
        <v>49</v>
      </c>
      <c r="B16" s="97" t="s">
        <v>26</v>
      </c>
      <c r="C16" s="97" t="s">
        <v>26</v>
      </c>
      <c r="D16" s="104" t="s">
        <v>26</v>
      </c>
      <c r="E16" s="97" t="s">
        <v>55</v>
      </c>
      <c r="F16" s="97" t="s">
        <v>64</v>
      </c>
      <c r="G16" s="97" t="s">
        <v>60</v>
      </c>
      <c r="H16" s="97" t="s">
        <v>60</v>
      </c>
      <c r="I16" s="97" t="s">
        <v>55</v>
      </c>
      <c r="J16" s="97" t="s">
        <v>55</v>
      </c>
      <c r="K16" s="97" t="s">
        <v>69</v>
      </c>
      <c r="L16" s="97" t="s">
        <v>49</v>
      </c>
      <c r="M16" s="97" t="s">
        <v>49</v>
      </c>
      <c r="N16" s="97" t="s">
        <v>49</v>
      </c>
      <c r="O16" s="68" t="s">
        <v>66</v>
      </c>
      <c r="P16" s="68" t="s">
        <v>35</v>
      </c>
      <c r="Q16" s="97" t="s">
        <v>71</v>
      </c>
      <c r="R16" s="97" t="s">
        <v>21</v>
      </c>
      <c r="S16" s="97" t="s">
        <v>20</v>
      </c>
      <c r="T16" s="97"/>
      <c r="U16" s="97"/>
      <c r="V16" s="20"/>
      <c r="W16" s="104" t="s">
        <v>6</v>
      </c>
      <c r="X16" s="104" t="s">
        <v>90</v>
      </c>
      <c r="Z16" s="11" t="s">
        <v>73</v>
      </c>
      <c r="AA16" s="22"/>
      <c r="AB16" s="22"/>
      <c r="AC16" s="49">
        <f>ABS(Table!$AB$4*COS(Table!$AB$3*PI()/180))</f>
        <v>311.75199069797156</v>
      </c>
      <c r="AN16" s="130">
        <f>E91</f>
        <v>8.7397843694675445E-2</v>
      </c>
      <c r="AO16" s="130">
        <f>$B91</f>
        <v>0.73791095647234239</v>
      </c>
      <c r="AP16" s="130">
        <f t="shared" si="0"/>
        <v>0.15721082155790667</v>
      </c>
      <c r="AR16" s="157">
        <v>9.9921582517046942E-2</v>
      </c>
      <c r="AS16" s="157"/>
      <c r="AT16" s="157"/>
      <c r="AU16" s="112"/>
      <c r="AV16" s="118"/>
    </row>
    <row r="17" spans="1:48" ht="12.4" customHeight="1" x14ac:dyDescent="0.2">
      <c r="A17" s="63"/>
      <c r="B17" s="84"/>
      <c r="C17" s="22"/>
      <c r="D17" s="28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8"/>
      <c r="S17" s="8"/>
      <c r="T17" s="8"/>
      <c r="U17" s="8"/>
      <c r="V17" s="8"/>
      <c r="W17" s="8"/>
      <c r="X17" s="8"/>
      <c r="AC17" s="90">
        <f ca="1">FORECAST(200,OFFSET(L$17,MATCH(200,L$18:L136, 1),-9,2,1),OFFSET(L$17,MATCH(200,L$18:L136, 1),0,2,1))</f>
        <v>0.28828807634543951</v>
      </c>
      <c r="AN17" s="130">
        <f>E81</f>
        <v>0.21382539279790155</v>
      </c>
      <c r="AO17" s="130">
        <f>$B81</f>
        <v>0.58070013491443573</v>
      </c>
      <c r="AP17" s="130">
        <f t="shared" si="0"/>
        <v>0.1665838244692181</v>
      </c>
      <c r="AR17" s="157">
        <v>0.25452110435346964</v>
      </c>
      <c r="AS17" s="157"/>
      <c r="AT17" s="157"/>
      <c r="AU17" s="112"/>
      <c r="AV17" s="118"/>
    </row>
    <row r="18" spans="1:48" ht="12.4" customHeight="1" x14ac:dyDescent="0.2">
      <c r="A18" s="63">
        <v>1.5251665115356445</v>
      </c>
      <c r="B18" s="84">
        <v>0</v>
      </c>
      <c r="C18" s="84">
        <f t="shared" ref="C18:C136" si="1">1-B18</f>
        <v>1</v>
      </c>
      <c r="D18" s="62">
        <f t="shared" ref="D18:D136" si="2">B18-B17</f>
        <v>0</v>
      </c>
      <c r="E18" s="50">
        <f>(2*Table!$AC$16*0.147)/A18</f>
        <v>60.095133594900979</v>
      </c>
      <c r="F18" s="50">
        <f t="shared" ref="F18:F136" si="3">E18*2</f>
        <v>120.19026718980196</v>
      </c>
      <c r="G18" s="63">
        <f>IF((('Raw Data'!C18)/('Raw Data'!C$136)*100)&lt;0,0,('Raw Data'!C18)/('Raw Data'!C$136)*100)</f>
        <v>0</v>
      </c>
      <c r="H18" s="63">
        <f t="shared" ref="H18:H136" si="4">G18-G17</f>
        <v>0</v>
      </c>
      <c r="I18" s="36">
        <f t="shared" ref="I18:I136" si="5">IF(E17&gt;0,LOG(E17)-LOG(E18), LOG(E18))</f>
        <v>1.7788393049736069</v>
      </c>
      <c r="J18" s="50">
        <f>'Raw Data'!F18/I18</f>
        <v>0</v>
      </c>
      <c r="K18" s="24">
        <f t="shared" ref="K18:K136" si="6">(0.2166095*A18*(SQRT(P$9/P$10)))/(485*-COS(RADIANS(130)))</f>
        <v>2.6802298713214288E-3</v>
      </c>
      <c r="L18" s="63">
        <f>A18*Table!$AC$9/$AC$16</f>
        <v>0.3424570138861659</v>
      </c>
      <c r="M18" s="63">
        <f>A18*Table!$AD$9/$AC$16</f>
        <v>0.11741383333239974</v>
      </c>
      <c r="N18" s="63">
        <f>ABS(A18*Table!$AE$9/$AC$16)</f>
        <v>0.14828823686479001</v>
      </c>
      <c r="O18" s="63">
        <f>($L18*(Table!$AC$10/Table!$AC$9)/(Table!$AC$12-Table!$AC$14))</f>
        <v>0.73457102935685525</v>
      </c>
      <c r="P18" s="63">
        <f>ROUND(($N18*(Table!$AE$10/Table!$AE$9)/(Table!$AC$12-Table!$AC$13)),2)</f>
        <v>1.22</v>
      </c>
      <c r="Q18" s="63">
        <f>'Raw Data'!C18</f>
        <v>0</v>
      </c>
      <c r="R18" s="63">
        <f>'Raw Data'!C18/'Raw Data'!I$30*100</f>
        <v>0</v>
      </c>
      <c r="S18" s="10">
        <f t="shared" ref="S18:S136" si="7">D18/MAX($D$18:$D$136)</f>
        <v>0</v>
      </c>
      <c r="T18" s="10">
        <f t="shared" ref="T18:T136" si="8">1-(X18/$X$136)</f>
        <v>1</v>
      </c>
      <c r="U18" s="41">
        <f t="shared" ref="U18:U136" si="9">R18/A18</f>
        <v>0</v>
      </c>
      <c r="V18" s="41">
        <f t="shared" ref="V18:V136" si="10">(U18^1.691)*399</f>
        <v>0</v>
      </c>
      <c r="W18" s="41">
        <f t="shared" ref="W18:W136" si="11">((E18*E18)/8)*S18</f>
        <v>0</v>
      </c>
      <c r="X18" s="107">
        <f t="shared" ref="X18:X136" si="12">W18+X17</f>
        <v>0</v>
      </c>
      <c r="Z18" s="43"/>
      <c r="AA18" s="22"/>
      <c r="AB18" s="22"/>
      <c r="AC18" s="99"/>
      <c r="AN18" s="130">
        <f>E73</f>
        <v>0.44101266987030469</v>
      </c>
      <c r="AO18" s="130">
        <f>$B73</f>
        <v>0.41411631044521763</v>
      </c>
      <c r="AP18" s="130">
        <f t="shared" si="0"/>
        <v>0.27920187460058227</v>
      </c>
      <c r="AR18" s="157">
        <v>0.47874420207019219</v>
      </c>
      <c r="AS18" s="157"/>
      <c r="AT18" s="157"/>
      <c r="AU18" s="112"/>
      <c r="AV18" s="118"/>
    </row>
    <row r="19" spans="1:48" ht="12.4" customHeight="1" x14ac:dyDescent="0.2">
      <c r="A19" s="63">
        <v>1.6010434627532959</v>
      </c>
      <c r="B19" s="84">
        <v>0</v>
      </c>
      <c r="C19" s="84">
        <f t="shared" si="1"/>
        <v>1</v>
      </c>
      <c r="D19" s="62">
        <f t="shared" si="2"/>
        <v>0</v>
      </c>
      <c r="E19" s="50">
        <f>(2*Table!$AC$16*0.147)/A19</f>
        <v>57.247093784440708</v>
      </c>
      <c r="F19" s="50">
        <f t="shared" si="3"/>
        <v>114.49418756888142</v>
      </c>
      <c r="G19" s="63">
        <f>IF((('Raw Data'!C19)/('Raw Data'!C$136)*100)&lt;0,0,('Raw Data'!C19)/('Raw Data'!C$136)*100)</f>
        <v>0</v>
      </c>
      <c r="H19" s="63">
        <f t="shared" si="4"/>
        <v>0</v>
      </c>
      <c r="I19" s="36">
        <f t="shared" si="5"/>
        <v>2.1085860868535811E-2</v>
      </c>
      <c r="J19" s="50">
        <f>'Raw Data'!F19/I19</f>
        <v>0</v>
      </c>
      <c r="K19" s="24">
        <f t="shared" si="6"/>
        <v>2.8135711620330792E-3</v>
      </c>
      <c r="L19" s="63">
        <f>A19*Table!$AC$9/$AC$16</f>
        <v>0.35949423175073864</v>
      </c>
      <c r="M19" s="63">
        <f>A19*Table!$AD$9/$AC$16</f>
        <v>0.12325516517168182</v>
      </c>
      <c r="N19" s="63">
        <f>ABS(A19*Table!$AE$9/$AC$16)</f>
        <v>0.15566556860505501</v>
      </c>
      <c r="O19" s="63">
        <f>($L19*(Table!$AC$10/Table!$AC$9)/(Table!$AC$12-Table!$AC$14))</f>
        <v>0.77111589822123272</v>
      </c>
      <c r="P19" s="63">
        <f>ROUND(($N19*(Table!$AE$10/Table!$AE$9)/(Table!$AC$12-Table!$AC$13)),2)</f>
        <v>1.28</v>
      </c>
      <c r="Q19" s="63">
        <f>'Raw Data'!C19</f>
        <v>0</v>
      </c>
      <c r="R19" s="63">
        <f>'Raw Data'!C19/'Raw Data'!I$30*100</f>
        <v>0</v>
      </c>
      <c r="S19" s="10">
        <f t="shared" si="7"/>
        <v>0</v>
      </c>
      <c r="T19" s="10">
        <f t="shared" si="8"/>
        <v>1</v>
      </c>
      <c r="U19" s="41">
        <f t="shared" si="9"/>
        <v>0</v>
      </c>
      <c r="V19" s="41">
        <f t="shared" si="10"/>
        <v>0</v>
      </c>
      <c r="W19" s="41">
        <f t="shared" si="11"/>
        <v>0</v>
      </c>
      <c r="X19" s="107">
        <f t="shared" si="12"/>
        <v>0</v>
      </c>
      <c r="AN19" s="130">
        <f>E68</f>
        <v>0.69117764566560191</v>
      </c>
      <c r="AO19" s="130">
        <f>$B68</f>
        <v>0.13491443584463536</v>
      </c>
      <c r="AP19" s="130">
        <f t="shared" si="0"/>
        <v>0.11503230845700488</v>
      </c>
      <c r="AR19" s="157">
        <v>0.74938444802644799</v>
      </c>
      <c r="AS19" s="157"/>
      <c r="AT19" s="157"/>
      <c r="AU19" s="112"/>
      <c r="AV19" s="118"/>
    </row>
    <row r="20" spans="1:48" ht="12.4" customHeight="1" x14ac:dyDescent="0.2">
      <c r="A20" s="63">
        <v>1.822029709815979</v>
      </c>
      <c r="B20" s="84">
        <v>0</v>
      </c>
      <c r="C20" s="84">
        <f t="shared" si="1"/>
        <v>1</v>
      </c>
      <c r="D20" s="62">
        <f t="shared" si="2"/>
        <v>0</v>
      </c>
      <c r="E20" s="50">
        <f>(2*Table!$AC$16*0.147)/A20</f>
        <v>50.303836853714422</v>
      </c>
      <c r="F20" s="50">
        <f t="shared" si="3"/>
        <v>100.60767370742884</v>
      </c>
      <c r="G20" s="63">
        <f>IF((('Raw Data'!C20)/('Raw Data'!C$136)*100)&lt;0,0,('Raw Data'!C20)/('Raw Data'!C$136)*100)</f>
        <v>0</v>
      </c>
      <c r="H20" s="63">
        <f t="shared" si="4"/>
        <v>0</v>
      </c>
      <c r="I20" s="36">
        <f t="shared" si="5"/>
        <v>5.6152332590969412E-2</v>
      </c>
      <c r="J20" s="50">
        <f>'Raw Data'!F20/I20</f>
        <v>0</v>
      </c>
      <c r="K20" s="24">
        <f t="shared" si="6"/>
        <v>3.2019182284345423E-3</v>
      </c>
      <c r="L20" s="63">
        <f>A20*Table!$AC$9/$AC$16</f>
        <v>0.40911392226098908</v>
      </c>
      <c r="M20" s="63">
        <f>A20*Table!$AD$9/$AC$16</f>
        <v>0.14026763048948196</v>
      </c>
      <c r="N20" s="63">
        <f>ABS(A20*Table!$AE$9/$AC$16)</f>
        <v>0.17715152485995425</v>
      </c>
      <c r="O20" s="63">
        <f>($L20*(Table!$AC$10/Table!$AC$9)/(Table!$AC$12-Table!$AC$14))</f>
        <v>0.8775502408000625</v>
      </c>
      <c r="P20" s="63">
        <f>ROUND(($N20*(Table!$AE$10/Table!$AE$9)/(Table!$AC$12-Table!$AC$13)),2)</f>
        <v>1.45</v>
      </c>
      <c r="Q20" s="63">
        <f>'Raw Data'!C20</f>
        <v>0</v>
      </c>
      <c r="R20" s="63">
        <f>'Raw Data'!C20/'Raw Data'!I$30*100</f>
        <v>0</v>
      </c>
      <c r="S20" s="10">
        <f t="shared" si="7"/>
        <v>0</v>
      </c>
      <c r="T20" s="10">
        <f t="shared" si="8"/>
        <v>1</v>
      </c>
      <c r="U20" s="41">
        <f t="shared" si="9"/>
        <v>0</v>
      </c>
      <c r="V20" s="41">
        <f t="shared" si="10"/>
        <v>0</v>
      </c>
      <c r="W20" s="41">
        <f t="shared" si="11"/>
        <v>0</v>
      </c>
      <c r="X20" s="107">
        <f t="shared" si="12"/>
        <v>0</v>
      </c>
      <c r="AN20" s="154">
        <f>E64</f>
        <v>0.99579120853447789</v>
      </c>
      <c r="AO20" s="130">
        <f>$B64</f>
        <v>1.9882127387630476E-2</v>
      </c>
      <c r="AP20" s="130">
        <f t="shared" si="0"/>
        <v>1.9882127387630476E-2</v>
      </c>
      <c r="AR20" s="71">
        <v>1.0742552826940897</v>
      </c>
      <c r="AS20" s="157"/>
      <c r="AT20" s="157"/>
      <c r="AU20" s="112"/>
      <c r="AV20" s="118"/>
    </row>
    <row r="21" spans="1:48" ht="12.4" customHeight="1" x14ac:dyDescent="0.2">
      <c r="A21" s="63">
        <v>2.0197198390960693</v>
      </c>
      <c r="B21" s="84">
        <v>0</v>
      </c>
      <c r="C21" s="84">
        <f t="shared" si="1"/>
        <v>1</v>
      </c>
      <c r="D21" s="62">
        <f t="shared" si="2"/>
        <v>0</v>
      </c>
      <c r="E21" s="50">
        <f>(2*Table!$AC$16*0.147)/A21</f>
        <v>45.38009851218974</v>
      </c>
      <c r="F21" s="50">
        <f t="shared" si="3"/>
        <v>90.76019702437948</v>
      </c>
      <c r="G21" s="63">
        <f>IF((('Raw Data'!C21)/('Raw Data'!C$136)*100)&lt;0,0,('Raw Data'!C21)/('Raw Data'!C$136)*100)</f>
        <v>0</v>
      </c>
      <c r="H21" s="63">
        <f t="shared" si="4"/>
        <v>0</v>
      </c>
      <c r="I21" s="36">
        <f t="shared" si="5"/>
        <v>4.4735677187441647E-2</v>
      </c>
      <c r="J21" s="50">
        <f>'Raw Data'!F21/I21</f>
        <v>0</v>
      </c>
      <c r="K21" s="24">
        <f t="shared" si="6"/>
        <v>3.5493261906172401E-3</v>
      </c>
      <c r="L21" s="63">
        <f>A21*Table!$AC$9/$AC$16</f>
        <v>0.45350276166703163</v>
      </c>
      <c r="M21" s="63">
        <f>A21*Table!$AD$9/$AC$16</f>
        <v>0.15548666114298226</v>
      </c>
      <c r="N21" s="63">
        <f>ABS(A21*Table!$AE$9/$AC$16)</f>
        <v>0.19637245614502455</v>
      </c>
      <c r="O21" s="63">
        <f>($L21*(Table!$AC$10/Table!$AC$9)/(Table!$AC$12-Table!$AC$14))</f>
        <v>0.97276439654017954</v>
      </c>
      <c r="P21" s="63">
        <f>ROUND(($N21*(Table!$AE$10/Table!$AE$9)/(Table!$AC$12-Table!$AC$13)),2)</f>
        <v>1.61</v>
      </c>
      <c r="Q21" s="63">
        <f>'Raw Data'!C21</f>
        <v>0</v>
      </c>
      <c r="R21" s="63">
        <f>'Raw Data'!C21/'Raw Data'!I$30*100</f>
        <v>0</v>
      </c>
      <c r="S21" s="10">
        <f t="shared" si="7"/>
        <v>0</v>
      </c>
      <c r="T21" s="10">
        <f t="shared" si="8"/>
        <v>1</v>
      </c>
      <c r="U21" s="41">
        <f t="shared" si="9"/>
        <v>0</v>
      </c>
      <c r="V21" s="41">
        <f t="shared" si="10"/>
        <v>0</v>
      </c>
      <c r="W21" s="41">
        <f t="shared" si="11"/>
        <v>0</v>
      </c>
      <c r="X21" s="107">
        <f t="shared" si="12"/>
        <v>0</v>
      </c>
      <c r="AN21" s="154">
        <f>$E55</f>
        <v>2.2742995404098787</v>
      </c>
      <c r="AO21" s="130">
        <f>$B55</f>
        <v>0</v>
      </c>
      <c r="AP21" s="130">
        <f t="shared" si="0"/>
        <v>0</v>
      </c>
      <c r="AR21" s="71">
        <v>2.3818202604521379</v>
      </c>
      <c r="AS21" s="157"/>
      <c r="AT21" s="157"/>
      <c r="AU21" s="112"/>
      <c r="AV21" s="118"/>
    </row>
    <row r="22" spans="1:48" ht="12.4" customHeight="1" x14ac:dyDescent="0.2">
      <c r="A22" s="63">
        <v>2.1800045967102051</v>
      </c>
      <c r="B22" s="84">
        <v>0</v>
      </c>
      <c r="C22" s="84">
        <f t="shared" si="1"/>
        <v>1</v>
      </c>
      <c r="D22" s="62">
        <f t="shared" si="2"/>
        <v>0</v>
      </c>
      <c r="E22" s="50">
        <f>(2*Table!$AC$16*0.147)/A22</f>
        <v>42.043528441874948</v>
      </c>
      <c r="F22" s="50">
        <f t="shared" si="3"/>
        <v>84.087056883749895</v>
      </c>
      <c r="G22" s="63">
        <f>IF((('Raw Data'!C22)/('Raw Data'!C$136)*100)&lt;0,0,('Raw Data'!C22)/('Raw Data'!C$136)*100)</f>
        <v>0</v>
      </c>
      <c r="H22" s="63">
        <f t="shared" si="4"/>
        <v>0</v>
      </c>
      <c r="I22" s="36">
        <f t="shared" si="5"/>
        <v>3.3166277909258746E-2</v>
      </c>
      <c r="J22" s="50">
        <f>'Raw Data'!F22/I22</f>
        <v>0</v>
      </c>
      <c r="K22" s="24">
        <f t="shared" si="6"/>
        <v>3.8310003501438421E-3</v>
      </c>
      <c r="L22" s="63">
        <f>A22*Table!$AC$9/$AC$16</f>
        <v>0.48949269394579448</v>
      </c>
      <c r="M22" s="63">
        <f>A22*Table!$AD$9/$AC$16</f>
        <v>0.16782606649570095</v>
      </c>
      <c r="N22" s="63">
        <f>ABS(A22*Table!$AE$9/$AC$16)</f>
        <v>0.21195655396196966</v>
      </c>
      <c r="O22" s="63">
        <f>($L22*(Table!$AC$10/Table!$AC$9)/(Table!$AC$12-Table!$AC$14))</f>
        <v>1.0499628784766077</v>
      </c>
      <c r="P22" s="63">
        <f>ROUND(($N22*(Table!$AE$10/Table!$AE$9)/(Table!$AC$12-Table!$AC$13)),2)</f>
        <v>1.74</v>
      </c>
      <c r="Q22" s="63">
        <f>'Raw Data'!C22</f>
        <v>0</v>
      </c>
      <c r="R22" s="63">
        <f>'Raw Data'!C22/'Raw Data'!I$30*100</f>
        <v>0</v>
      </c>
      <c r="S22" s="10">
        <f t="shared" si="7"/>
        <v>0</v>
      </c>
      <c r="T22" s="10">
        <f t="shared" si="8"/>
        <v>1</v>
      </c>
      <c r="U22" s="41">
        <f t="shared" si="9"/>
        <v>0</v>
      </c>
      <c r="V22" s="41">
        <f t="shared" si="10"/>
        <v>0</v>
      </c>
      <c r="W22" s="41">
        <f t="shared" si="11"/>
        <v>0</v>
      </c>
      <c r="X22" s="107">
        <f t="shared" si="12"/>
        <v>0</v>
      </c>
      <c r="AN22" s="154">
        <f>$E47</f>
        <v>4.5239906544132271</v>
      </c>
      <c r="AO22" s="130">
        <f>$B47</f>
        <v>0</v>
      </c>
      <c r="AP22" s="130">
        <f t="shared" si="0"/>
        <v>0</v>
      </c>
      <c r="AR22" s="71">
        <v>4.9092259390712378</v>
      </c>
      <c r="AS22" s="157"/>
      <c r="AT22" s="157"/>
      <c r="AU22" s="112"/>
      <c r="AV22" s="118"/>
    </row>
    <row r="23" spans="1:48" ht="12.4" customHeight="1" x14ac:dyDescent="0.2">
      <c r="A23" s="63">
        <v>2.3738393783569336</v>
      </c>
      <c r="B23" s="84">
        <v>0</v>
      </c>
      <c r="C23" s="84">
        <f t="shared" si="1"/>
        <v>1</v>
      </c>
      <c r="D23" s="62">
        <f t="shared" si="2"/>
        <v>0</v>
      </c>
      <c r="E23" s="50">
        <f>(2*Table!$AC$16*0.147)/A23</f>
        <v>38.610483127398126</v>
      </c>
      <c r="F23" s="50">
        <f t="shared" si="3"/>
        <v>77.220966254796252</v>
      </c>
      <c r="G23" s="63">
        <f>IF((('Raw Data'!C23)/('Raw Data'!C$136)*100)&lt;0,0,('Raw Data'!C23)/('Raw Data'!C$136)*100)</f>
        <v>0</v>
      </c>
      <c r="H23" s="63">
        <f t="shared" si="4"/>
        <v>0</v>
      </c>
      <c r="I23" s="36">
        <f t="shared" si="5"/>
        <v>3.6993920495234089E-2</v>
      </c>
      <c r="J23" s="50">
        <f>'Raw Data'!F23/I23</f>
        <v>0</v>
      </c>
      <c r="K23" s="24">
        <f t="shared" si="6"/>
        <v>4.1716331715054506E-3</v>
      </c>
      <c r="L23" s="63">
        <f>A23*Table!$AC$9/$AC$16</f>
        <v>0.53301586338857188</v>
      </c>
      <c r="M23" s="63">
        <f>A23*Table!$AD$9/$AC$16</f>
        <v>0.18274829601893894</v>
      </c>
      <c r="N23" s="63">
        <f>ABS(A23*Table!$AE$9/$AC$16)</f>
        <v>0.23080263915729962</v>
      </c>
      <c r="O23" s="63">
        <f>($L23*(Table!$AC$10/Table!$AC$9)/(Table!$AC$12-Table!$AC$14))</f>
        <v>1.1433201702886571</v>
      </c>
      <c r="P23" s="63">
        <f>ROUND(($N23*(Table!$AE$10/Table!$AE$9)/(Table!$AC$12-Table!$AC$13)),2)</f>
        <v>1.89</v>
      </c>
      <c r="Q23" s="63">
        <f>'Raw Data'!C23</f>
        <v>0</v>
      </c>
      <c r="R23" s="63">
        <f>'Raw Data'!C23/'Raw Data'!I$30*100</f>
        <v>0</v>
      </c>
      <c r="S23" s="10">
        <f t="shared" si="7"/>
        <v>0</v>
      </c>
      <c r="T23" s="10">
        <f t="shared" si="8"/>
        <v>1</v>
      </c>
      <c r="U23" s="41">
        <f t="shared" si="9"/>
        <v>0</v>
      </c>
      <c r="V23" s="41">
        <f t="shared" si="10"/>
        <v>0</v>
      </c>
      <c r="W23" s="41">
        <f t="shared" si="11"/>
        <v>0</v>
      </c>
      <c r="X23" s="107">
        <f t="shared" si="12"/>
        <v>0</v>
      </c>
      <c r="AN23" s="154">
        <f>$E42</f>
        <v>7.116418376424086</v>
      </c>
      <c r="AO23" s="130">
        <f>$B42</f>
        <v>0</v>
      </c>
      <c r="AP23" s="130">
        <f t="shared" si="0"/>
        <v>0</v>
      </c>
      <c r="AR23" s="71">
        <v>7.6545393934362336</v>
      </c>
      <c r="AS23" s="157"/>
      <c r="AT23" s="157"/>
      <c r="AU23" s="112"/>
      <c r="AV23" s="118"/>
    </row>
    <row r="24" spans="1:48" ht="12.4" customHeight="1" x14ac:dyDescent="0.2">
      <c r="A24" s="63">
        <v>2.593677282333374</v>
      </c>
      <c r="B24" s="84">
        <v>0</v>
      </c>
      <c r="C24" s="84">
        <f t="shared" si="1"/>
        <v>1</v>
      </c>
      <c r="D24" s="62">
        <f t="shared" si="2"/>
        <v>0</v>
      </c>
      <c r="E24" s="50">
        <f>(2*Table!$AC$16*0.147)/A24</f>
        <v>35.337891066673926</v>
      </c>
      <c r="F24" s="50">
        <f t="shared" si="3"/>
        <v>70.675782133347852</v>
      </c>
      <c r="G24" s="63">
        <f>IF((('Raw Data'!C24)/('Raw Data'!C$136)*100)&lt;0,0,('Raw Data'!C24)/('Raw Data'!C$136)*100)</f>
        <v>0</v>
      </c>
      <c r="H24" s="63">
        <f t="shared" si="4"/>
        <v>0</v>
      </c>
      <c r="I24" s="36">
        <f t="shared" si="5"/>
        <v>3.8464608279312529E-2</v>
      </c>
      <c r="J24" s="50">
        <f>'Raw Data'!F24/I24</f>
        <v>0</v>
      </c>
      <c r="K24" s="24">
        <f t="shared" si="6"/>
        <v>4.5579622133705795E-3</v>
      </c>
      <c r="L24" s="63">
        <f>A24*Table!$AC$9/$AC$16</f>
        <v>0.58237770785954923</v>
      </c>
      <c r="M24" s="63">
        <f>A24*Table!$AD$9/$AC$16</f>
        <v>0.19967235698041685</v>
      </c>
      <c r="N24" s="63">
        <f>ABS(A24*Table!$AE$9/$AC$16)</f>
        <v>0.25217694480206099</v>
      </c>
      <c r="O24" s="63">
        <f>($L24*(Table!$AC$10/Table!$AC$9)/(Table!$AC$12-Table!$AC$14))</f>
        <v>1.2492014325601657</v>
      </c>
      <c r="P24" s="63">
        <f>ROUND(($N24*(Table!$AE$10/Table!$AE$9)/(Table!$AC$12-Table!$AC$13)),2)</f>
        <v>2.0699999999999998</v>
      </c>
      <c r="Q24" s="63">
        <f>'Raw Data'!C24</f>
        <v>0</v>
      </c>
      <c r="R24" s="63">
        <f>'Raw Data'!C24/'Raw Data'!I$30*100</f>
        <v>0</v>
      </c>
      <c r="S24" s="10">
        <f t="shared" si="7"/>
        <v>0</v>
      </c>
      <c r="T24" s="10">
        <f t="shared" si="8"/>
        <v>1</v>
      </c>
      <c r="U24" s="41">
        <f t="shared" si="9"/>
        <v>0</v>
      </c>
      <c r="V24" s="41">
        <f t="shared" si="10"/>
        <v>0</v>
      </c>
      <c r="W24" s="41">
        <f t="shared" si="11"/>
        <v>0</v>
      </c>
      <c r="X24" s="107">
        <f t="shared" si="12"/>
        <v>0</v>
      </c>
      <c r="AN24" s="44">
        <f>$E39</f>
        <v>9.2809226182651603</v>
      </c>
      <c r="AO24" s="130">
        <f>$B39</f>
        <v>0</v>
      </c>
      <c r="AP24" s="130">
        <f t="shared" si="0"/>
        <v>0</v>
      </c>
      <c r="AR24" s="133">
        <v>10.01194107647434</v>
      </c>
      <c r="AS24" s="157"/>
      <c r="AT24" s="157"/>
      <c r="AU24" s="112"/>
      <c r="AV24" s="118"/>
    </row>
    <row r="25" spans="1:48" ht="12.4" customHeight="1" x14ac:dyDescent="0.2">
      <c r="A25" s="63">
        <v>2.8300850391387939</v>
      </c>
      <c r="B25" s="84">
        <v>0</v>
      </c>
      <c r="C25" s="84">
        <f t="shared" si="1"/>
        <v>1</v>
      </c>
      <c r="D25" s="62">
        <f t="shared" si="2"/>
        <v>0</v>
      </c>
      <c r="E25" s="50">
        <f>(2*Table!$AC$16*0.147)/A25</f>
        <v>32.385982752339714</v>
      </c>
      <c r="F25" s="50">
        <f t="shared" si="3"/>
        <v>64.771965504679429</v>
      </c>
      <c r="G25" s="63">
        <f>IF((('Raw Data'!C25)/('Raw Data'!C$136)*100)&lt;0,0,('Raw Data'!C25)/('Raw Data'!C$136)*100)</f>
        <v>0</v>
      </c>
      <c r="H25" s="63">
        <f t="shared" si="4"/>
        <v>0</v>
      </c>
      <c r="I25" s="36">
        <f t="shared" si="5"/>
        <v>3.7883547391047712E-2</v>
      </c>
      <c r="J25" s="50">
        <f>'Raw Data'!F25/I25</f>
        <v>0</v>
      </c>
      <c r="K25" s="24">
        <f t="shared" si="6"/>
        <v>4.9734100525471682E-3</v>
      </c>
      <c r="L25" s="63">
        <f>A25*Table!$AC$9/$AC$16</f>
        <v>0.63546010498981098</v>
      </c>
      <c r="M25" s="63">
        <f>A25*Table!$AD$9/$AC$16</f>
        <v>0.21787203599650662</v>
      </c>
      <c r="N25" s="63">
        <f>ABS(A25*Table!$AE$9/$AC$16)</f>
        <v>0.27516229700635142</v>
      </c>
      <c r="O25" s="63">
        <f>($L25*(Table!$AC$10/Table!$AC$9)/(Table!$AC$12-Table!$AC$14))</f>
        <v>1.3630632882664329</v>
      </c>
      <c r="P25" s="63">
        <f>ROUND(($N25*(Table!$AE$10/Table!$AE$9)/(Table!$AC$12-Table!$AC$13)),2)</f>
        <v>2.2599999999999998</v>
      </c>
      <c r="Q25" s="63">
        <f>'Raw Data'!C25</f>
        <v>0</v>
      </c>
      <c r="R25" s="63">
        <f>'Raw Data'!C25/'Raw Data'!I$30*100</f>
        <v>0</v>
      </c>
      <c r="S25" s="10">
        <f t="shared" si="7"/>
        <v>0</v>
      </c>
      <c r="T25" s="10">
        <f t="shared" si="8"/>
        <v>1</v>
      </c>
      <c r="U25" s="41">
        <f t="shared" si="9"/>
        <v>0</v>
      </c>
      <c r="V25" s="41">
        <f t="shared" si="10"/>
        <v>0</v>
      </c>
      <c r="W25" s="41">
        <f t="shared" si="11"/>
        <v>0</v>
      </c>
      <c r="X25" s="107">
        <f t="shared" si="12"/>
        <v>0</v>
      </c>
      <c r="AN25" s="44">
        <f>$E29</f>
        <v>22.66381736360562</v>
      </c>
      <c r="AO25" s="130">
        <f>$B29</f>
        <v>0</v>
      </c>
      <c r="AP25" s="130">
        <f t="shared" si="0"/>
        <v>0</v>
      </c>
      <c r="AR25" s="133">
        <v>23.954008145687514</v>
      </c>
      <c r="AS25" s="157"/>
      <c r="AT25" s="157"/>
      <c r="AU25" s="112"/>
      <c r="AV25" s="118"/>
    </row>
    <row r="26" spans="1:48" ht="12.4" customHeight="1" x14ac:dyDescent="0.2">
      <c r="A26" s="63">
        <v>3.0941364765167236</v>
      </c>
      <c r="B26" s="84">
        <v>0</v>
      </c>
      <c r="C26" s="84">
        <f t="shared" si="1"/>
        <v>1</v>
      </c>
      <c r="D26" s="62">
        <f t="shared" si="2"/>
        <v>0</v>
      </c>
      <c r="E26" s="50">
        <f>(2*Table!$AC$16*0.147)/A26</f>
        <v>29.622185692463667</v>
      </c>
      <c r="F26" s="50">
        <f t="shared" si="3"/>
        <v>59.244371384927334</v>
      </c>
      <c r="G26" s="63">
        <f>IF((('Raw Data'!C26)/('Raw Data'!C$136)*100)&lt;0,0,('Raw Data'!C26)/('Raw Data'!C$136)*100)</f>
        <v>0</v>
      </c>
      <c r="H26" s="63">
        <f t="shared" si="4"/>
        <v>0</v>
      </c>
      <c r="I26" s="36">
        <f t="shared" si="5"/>
        <v>3.8739980180212408E-2</v>
      </c>
      <c r="J26" s="50">
        <f>'Raw Data'!F26/I26</f>
        <v>0</v>
      </c>
      <c r="K26" s="24">
        <f t="shared" si="6"/>
        <v>5.4374371241310473E-3</v>
      </c>
      <c r="L26" s="63">
        <f>A26*Table!$AC$9/$AC$16</f>
        <v>0.69474954392834898</v>
      </c>
      <c r="M26" s="63">
        <f>A26*Table!$AD$9/$AC$16</f>
        <v>0.23819984363257682</v>
      </c>
      <c r="N26" s="63">
        <f>ABS(A26*Table!$AE$9/$AC$16)</f>
        <v>0.30083537715480158</v>
      </c>
      <c r="O26" s="63">
        <f>($L26*(Table!$AC$10/Table!$AC$9)/(Table!$AC$12-Table!$AC$14))</f>
        <v>1.4902392619655707</v>
      </c>
      <c r="P26" s="63">
        <f>ROUND(($N26*(Table!$AE$10/Table!$AE$9)/(Table!$AC$12-Table!$AC$13)),2)</f>
        <v>2.4700000000000002</v>
      </c>
      <c r="Q26" s="63">
        <f>'Raw Data'!C26</f>
        <v>0</v>
      </c>
      <c r="R26" s="63">
        <f>'Raw Data'!C26/'Raw Data'!I$30*100</f>
        <v>0</v>
      </c>
      <c r="S26" s="10">
        <f t="shared" si="7"/>
        <v>0</v>
      </c>
      <c r="T26" s="10">
        <f t="shared" si="8"/>
        <v>1</v>
      </c>
      <c r="U26" s="41">
        <f t="shared" si="9"/>
        <v>0</v>
      </c>
      <c r="V26" s="41">
        <f t="shared" si="10"/>
        <v>0</v>
      </c>
      <c r="W26" s="41">
        <f t="shared" si="11"/>
        <v>0</v>
      </c>
      <c r="X26" s="107">
        <f t="shared" si="12"/>
        <v>0</v>
      </c>
      <c r="AN26" s="44">
        <f>$E21</f>
        <v>45.38009851218974</v>
      </c>
      <c r="AO26" s="130">
        <f>$B22</f>
        <v>0</v>
      </c>
      <c r="AP26" s="130">
        <f t="shared" si="0"/>
        <v>0</v>
      </c>
      <c r="AR26" s="133">
        <v>51.76790385987443</v>
      </c>
      <c r="AS26" s="157"/>
      <c r="AT26" s="157"/>
      <c r="AU26" s="112"/>
      <c r="AV26" s="118"/>
    </row>
    <row r="27" spans="1:48" ht="12.4" customHeight="1" x14ac:dyDescent="0.2">
      <c r="A27" s="63">
        <v>3.3660628795623779</v>
      </c>
      <c r="B27" s="84">
        <v>0</v>
      </c>
      <c r="C27" s="84">
        <f t="shared" si="1"/>
        <v>1</v>
      </c>
      <c r="D27" s="62">
        <f t="shared" si="2"/>
        <v>0</v>
      </c>
      <c r="E27" s="50">
        <f>(2*Table!$AC$16*0.147)/A27</f>
        <v>27.229166104324147</v>
      </c>
      <c r="F27" s="50">
        <f t="shared" si="3"/>
        <v>54.458332208648294</v>
      </c>
      <c r="G27" s="63">
        <f>IF((('Raw Data'!C27)/('Raw Data'!C$136)*100)&lt;0,0,('Raw Data'!C27)/('Raw Data'!C$136)*100)</f>
        <v>0</v>
      </c>
      <c r="H27" s="63">
        <f t="shared" si="4"/>
        <v>0</v>
      </c>
      <c r="I27" s="36">
        <f t="shared" si="5"/>
        <v>3.6582758835779217E-2</v>
      </c>
      <c r="J27" s="50">
        <f>'Raw Data'!F27/I27</f>
        <v>0</v>
      </c>
      <c r="K27" s="24">
        <f t="shared" si="6"/>
        <v>5.9153031556308609E-3</v>
      </c>
      <c r="L27" s="63">
        <f>A27*Table!$AC$9/$AC$16</f>
        <v>0.75580720765193676</v>
      </c>
      <c r="M27" s="63">
        <f>A27*Table!$AD$9/$AC$16</f>
        <v>0.2591338997663783</v>
      </c>
      <c r="N27" s="63">
        <f>ABS(A27*Table!$AE$9/$AC$16)</f>
        <v>0.32727412109497883</v>
      </c>
      <c r="O27" s="63">
        <f>($L27*(Table!$AC$10/Table!$AC$9)/(Table!$AC$12-Table!$AC$14))</f>
        <v>1.6212080816214862</v>
      </c>
      <c r="P27" s="63">
        <f>ROUND(($N27*(Table!$AE$10/Table!$AE$9)/(Table!$AC$12-Table!$AC$13)),2)</f>
        <v>2.69</v>
      </c>
      <c r="Q27" s="63">
        <f>'Raw Data'!C27</f>
        <v>0</v>
      </c>
      <c r="R27" s="63">
        <f>'Raw Data'!C27/'Raw Data'!I$30*100</f>
        <v>0</v>
      </c>
      <c r="S27" s="10">
        <f t="shared" si="7"/>
        <v>0</v>
      </c>
      <c r="T27" s="10">
        <f t="shared" si="8"/>
        <v>1</v>
      </c>
      <c r="U27" s="41">
        <f t="shared" si="9"/>
        <v>0</v>
      </c>
      <c r="V27" s="41">
        <f t="shared" si="10"/>
        <v>0</v>
      </c>
      <c r="W27" s="41">
        <f t="shared" si="11"/>
        <v>0</v>
      </c>
      <c r="X27" s="107">
        <f t="shared" si="12"/>
        <v>0</v>
      </c>
      <c r="AN27" s="44">
        <f>$E18</f>
        <v>60.095133594900979</v>
      </c>
      <c r="AO27" s="130">
        <f>$B18</f>
        <v>0</v>
      </c>
      <c r="AP27" s="130">
        <f t="shared" si="0"/>
        <v>0</v>
      </c>
      <c r="AR27" s="133">
        <v>72.33793188366559</v>
      </c>
      <c r="AS27" s="157"/>
      <c r="AT27" s="157"/>
      <c r="AU27" s="112"/>
      <c r="AV27" s="118"/>
    </row>
    <row r="28" spans="1:48" ht="12.4" customHeight="1" x14ac:dyDescent="0.2">
      <c r="A28" s="63">
        <v>3.7039406299591064</v>
      </c>
      <c r="B28" s="84">
        <v>0</v>
      </c>
      <c r="C28" s="84">
        <f t="shared" si="1"/>
        <v>1</v>
      </c>
      <c r="D28" s="62">
        <f t="shared" si="2"/>
        <v>0</v>
      </c>
      <c r="E28" s="50">
        <f>(2*Table!$AC$16*0.147)/A28</f>
        <v>24.745290063198329</v>
      </c>
      <c r="F28" s="50">
        <f t="shared" si="3"/>
        <v>49.490580126396658</v>
      </c>
      <c r="G28" s="63">
        <f>IF((('Raw Data'!C28)/('Raw Data'!C$136)*100)&lt;0,0,('Raw Data'!C28)/('Raw Data'!C$136)*100)</f>
        <v>0</v>
      </c>
      <c r="H28" s="63">
        <f t="shared" si="4"/>
        <v>0</v>
      </c>
      <c r="I28" s="36">
        <f t="shared" si="5"/>
        <v>4.1541792278047884E-2</v>
      </c>
      <c r="J28" s="50">
        <f>'Raw Data'!F28/I28</f>
        <v>0</v>
      </c>
      <c r="K28" s="24">
        <f t="shared" si="6"/>
        <v>6.5090678577920599E-3</v>
      </c>
      <c r="L28" s="63">
        <f>A28*Table!$AC$9/$AC$16</f>
        <v>0.83167341936342754</v>
      </c>
      <c r="M28" s="63">
        <f>A28*Table!$AD$9/$AC$16</f>
        <v>0.28514517235317516</v>
      </c>
      <c r="N28" s="63">
        <f>ABS(A28*Table!$AE$9/$AC$16)</f>
        <v>0.36012515441049853</v>
      </c>
      <c r="O28" s="63">
        <f>($L28*(Table!$AC$10/Table!$AC$9)/(Table!$AC$12-Table!$AC$14))</f>
        <v>1.7839412684758207</v>
      </c>
      <c r="P28" s="63">
        <f>ROUND(($N28*(Table!$AE$10/Table!$AE$9)/(Table!$AC$12-Table!$AC$13)),2)</f>
        <v>2.96</v>
      </c>
      <c r="Q28" s="63">
        <f>'Raw Data'!C28</f>
        <v>0</v>
      </c>
      <c r="R28" s="63">
        <f>'Raw Data'!C28/'Raw Data'!I$30*100</f>
        <v>0</v>
      </c>
      <c r="S28" s="10">
        <f t="shared" si="7"/>
        <v>0</v>
      </c>
      <c r="T28" s="10">
        <f t="shared" si="8"/>
        <v>1</v>
      </c>
      <c r="U28" s="41">
        <f t="shared" si="9"/>
        <v>0</v>
      </c>
      <c r="V28" s="41">
        <f t="shared" si="10"/>
        <v>0</v>
      </c>
      <c r="W28" s="41">
        <f t="shared" si="11"/>
        <v>0</v>
      </c>
      <c r="X28" s="107">
        <f t="shared" si="12"/>
        <v>0</v>
      </c>
      <c r="AN28" s="103"/>
      <c r="AO28" s="130"/>
      <c r="AP28" s="130"/>
      <c r="AS28" s="157"/>
      <c r="AT28" s="157"/>
      <c r="AU28" s="118"/>
      <c r="AV28" s="118"/>
    </row>
    <row r="29" spans="1:48" ht="12.4" customHeight="1" x14ac:dyDescent="0.2">
      <c r="A29" s="63">
        <v>4.0441150665283203</v>
      </c>
      <c r="B29" s="84">
        <v>0</v>
      </c>
      <c r="C29" s="84">
        <f t="shared" si="1"/>
        <v>1</v>
      </c>
      <c r="D29" s="62">
        <f t="shared" si="2"/>
        <v>0</v>
      </c>
      <c r="E29" s="50">
        <f>(2*Table!$AC$16*0.147)/A29</f>
        <v>22.66381736360562</v>
      </c>
      <c r="F29" s="50">
        <f t="shared" si="3"/>
        <v>45.32763472721124</v>
      </c>
      <c r="G29" s="63">
        <f>IF((('Raw Data'!C29)/('Raw Data'!C$136)*100)&lt;0,0,('Raw Data'!C29)/('Raw Data'!C$136)*100)</f>
        <v>0</v>
      </c>
      <c r="H29" s="63">
        <f t="shared" si="4"/>
        <v>0</v>
      </c>
      <c r="I29" s="36">
        <f t="shared" si="5"/>
        <v>3.8159487193792252E-2</v>
      </c>
      <c r="J29" s="50">
        <f>'Raw Data'!F29/I29</f>
        <v>0</v>
      </c>
      <c r="K29" s="24">
        <f t="shared" si="6"/>
        <v>7.1068686090259266E-3</v>
      </c>
      <c r="L29" s="63">
        <f>A29*Table!$AC$9/$AC$16</f>
        <v>0.90805532315346449</v>
      </c>
      <c r="M29" s="63">
        <f>A29*Table!$AD$9/$AC$16</f>
        <v>0.31133325365261638</v>
      </c>
      <c r="N29" s="63">
        <f>ABS(A29*Table!$AE$9/$AC$16)</f>
        <v>0.39319948894629403</v>
      </c>
      <c r="O29" s="63">
        <f>($L29*(Table!$AC$10/Table!$AC$9)/(Table!$AC$12-Table!$AC$14))</f>
        <v>1.9477806159447975</v>
      </c>
      <c r="P29" s="63">
        <f>ROUND(($N29*(Table!$AE$10/Table!$AE$9)/(Table!$AC$12-Table!$AC$13)),2)</f>
        <v>3.23</v>
      </c>
      <c r="Q29" s="63">
        <f>'Raw Data'!C29</f>
        <v>0</v>
      </c>
      <c r="R29" s="63">
        <f>'Raw Data'!C29/'Raw Data'!I$30*100</f>
        <v>0</v>
      </c>
      <c r="S29" s="10">
        <f t="shared" si="7"/>
        <v>0</v>
      </c>
      <c r="T29" s="10">
        <f t="shared" si="8"/>
        <v>1</v>
      </c>
      <c r="U29" s="41">
        <f t="shared" si="9"/>
        <v>0</v>
      </c>
      <c r="V29" s="41">
        <f t="shared" si="10"/>
        <v>0</v>
      </c>
      <c r="W29" s="41">
        <f t="shared" si="11"/>
        <v>0</v>
      </c>
      <c r="X29" s="107">
        <f t="shared" si="12"/>
        <v>0</v>
      </c>
      <c r="AS29" s="157"/>
      <c r="AT29" s="157"/>
    </row>
    <row r="30" spans="1:48" ht="12.4" customHeight="1" x14ac:dyDescent="0.2">
      <c r="A30" s="63">
        <v>4.420710563659668</v>
      </c>
      <c r="B30" s="84">
        <v>0</v>
      </c>
      <c r="C30" s="84">
        <f t="shared" si="1"/>
        <v>1</v>
      </c>
      <c r="D30" s="62">
        <f t="shared" si="2"/>
        <v>0</v>
      </c>
      <c r="E30" s="50">
        <f>(2*Table!$AC$16*0.147)/A30</f>
        <v>20.733111554203933</v>
      </c>
      <c r="F30" s="50">
        <f t="shared" si="3"/>
        <v>41.466223108407867</v>
      </c>
      <c r="G30" s="63">
        <f>IF((('Raw Data'!C30)/('Raw Data'!C$136)*100)&lt;0,0,('Raw Data'!C30)/('Raw Data'!C$136)*100)</f>
        <v>0</v>
      </c>
      <c r="H30" s="63">
        <f t="shared" si="4"/>
        <v>0</v>
      </c>
      <c r="I30" s="36">
        <f t="shared" si="5"/>
        <v>3.8668577353940137E-2</v>
      </c>
      <c r="J30" s="50">
        <f>'Raw Data'!F30/I30</f>
        <v>0</v>
      </c>
      <c r="K30" s="24">
        <f t="shared" si="6"/>
        <v>7.7686733976717794E-3</v>
      </c>
      <c r="L30" s="63">
        <f>A30*Table!$AC$9/$AC$16</f>
        <v>0.99261511935612545</v>
      </c>
      <c r="M30" s="63">
        <f>A30*Table!$AD$9/$AC$16</f>
        <v>0.34032518377924303</v>
      </c>
      <c r="N30" s="63">
        <f>ABS(A30*Table!$AE$9/$AC$16)</f>
        <v>0.4298149547714637</v>
      </c>
      <c r="O30" s="63">
        <f>($L30*(Table!$AC$10/Table!$AC$9)/(Table!$AC$12-Table!$AC$14))</f>
        <v>2.1291615601804494</v>
      </c>
      <c r="P30" s="63">
        <f>ROUND(($N30*(Table!$AE$10/Table!$AE$9)/(Table!$AC$12-Table!$AC$13)),2)</f>
        <v>3.53</v>
      </c>
      <c r="Q30" s="63">
        <f>'Raw Data'!C30</f>
        <v>0</v>
      </c>
      <c r="R30" s="63">
        <f>'Raw Data'!C30/'Raw Data'!I$30*100</f>
        <v>0</v>
      </c>
      <c r="S30" s="10">
        <f t="shared" si="7"/>
        <v>0</v>
      </c>
      <c r="T30" s="10">
        <f t="shared" si="8"/>
        <v>1</v>
      </c>
      <c r="U30" s="41">
        <f t="shared" si="9"/>
        <v>0</v>
      </c>
      <c r="V30" s="41">
        <f t="shared" si="10"/>
        <v>0</v>
      </c>
      <c r="W30" s="41">
        <f t="shared" si="11"/>
        <v>0</v>
      </c>
      <c r="X30" s="107">
        <f t="shared" si="12"/>
        <v>0</v>
      </c>
      <c r="AS30" s="157"/>
      <c r="AT30" s="157"/>
    </row>
    <row r="31" spans="1:48" ht="12.4" customHeight="1" x14ac:dyDescent="0.2">
      <c r="A31" s="63">
        <v>4.835777759552002</v>
      </c>
      <c r="B31" s="84">
        <v>0</v>
      </c>
      <c r="C31" s="84">
        <f t="shared" si="1"/>
        <v>1</v>
      </c>
      <c r="D31" s="62">
        <f t="shared" si="2"/>
        <v>0</v>
      </c>
      <c r="E31" s="50">
        <f>(2*Table!$AC$16*0.147)/A31</f>
        <v>18.953535464726315</v>
      </c>
      <c r="F31" s="50">
        <f t="shared" si="3"/>
        <v>37.90707092945263</v>
      </c>
      <c r="G31" s="63">
        <f>IF((('Raw Data'!C31)/('Raw Data'!C$136)*100)&lt;0,0,('Raw Data'!C31)/('Raw Data'!C$136)*100)</f>
        <v>0</v>
      </c>
      <c r="H31" s="63">
        <f t="shared" si="4"/>
        <v>0</v>
      </c>
      <c r="I31" s="36">
        <f t="shared" si="5"/>
        <v>3.897425218467454E-2</v>
      </c>
      <c r="J31" s="50">
        <f>'Raw Data'!F31/I31</f>
        <v>0</v>
      </c>
      <c r="K31" s="24">
        <f t="shared" si="6"/>
        <v>8.4980858838639515E-3</v>
      </c>
      <c r="L31" s="63">
        <f>A31*Table!$AC$9/$AC$16</f>
        <v>1.0858132530630304</v>
      </c>
      <c r="M31" s="63">
        <f>A31*Table!$AD$9/$AC$16</f>
        <v>0.37227882962161046</v>
      </c>
      <c r="N31" s="63">
        <f>ABS(A31*Table!$AE$9/$AC$16)</f>
        <v>0.470170930459203</v>
      </c>
      <c r="O31" s="63">
        <f>($L31*(Table!$AC$10/Table!$AC$9)/(Table!$AC$12-Table!$AC$14))</f>
        <v>2.3290717568919574</v>
      </c>
      <c r="P31" s="63">
        <f>ROUND(($N31*(Table!$AE$10/Table!$AE$9)/(Table!$AC$12-Table!$AC$13)),2)</f>
        <v>3.86</v>
      </c>
      <c r="Q31" s="63">
        <f>'Raw Data'!C31</f>
        <v>0</v>
      </c>
      <c r="R31" s="63">
        <f>'Raw Data'!C31/'Raw Data'!I$30*100</f>
        <v>0</v>
      </c>
      <c r="S31" s="10">
        <f t="shared" si="7"/>
        <v>0</v>
      </c>
      <c r="T31" s="10">
        <f t="shared" si="8"/>
        <v>1</v>
      </c>
      <c r="U31" s="41">
        <f t="shared" si="9"/>
        <v>0</v>
      </c>
      <c r="V31" s="41">
        <f t="shared" si="10"/>
        <v>0</v>
      </c>
      <c r="W31" s="41">
        <f t="shared" si="11"/>
        <v>0</v>
      </c>
      <c r="X31" s="107">
        <f t="shared" si="12"/>
        <v>0</v>
      </c>
      <c r="AS31" s="157"/>
      <c r="AT31" s="157"/>
    </row>
    <row r="32" spans="1:48" ht="12.4" customHeight="1" x14ac:dyDescent="0.2">
      <c r="A32" s="63">
        <v>5.2756175994873047</v>
      </c>
      <c r="B32" s="84">
        <v>0</v>
      </c>
      <c r="C32" s="84">
        <f t="shared" si="1"/>
        <v>1</v>
      </c>
      <c r="D32" s="62">
        <f t="shared" si="2"/>
        <v>0</v>
      </c>
      <c r="E32" s="50">
        <f>(2*Table!$AC$16*0.147)/A32</f>
        <v>17.373337535705936</v>
      </c>
      <c r="F32" s="50">
        <f t="shared" si="3"/>
        <v>34.746675071411872</v>
      </c>
      <c r="G32" s="63">
        <f>IF((('Raw Data'!C32)/('Raw Data'!C$136)*100)&lt;0,0,('Raw Data'!C32)/('Raw Data'!C$136)*100)</f>
        <v>0</v>
      </c>
      <c r="H32" s="63">
        <f t="shared" si="4"/>
        <v>0</v>
      </c>
      <c r="I32" s="36">
        <f t="shared" si="5"/>
        <v>3.7806974854571074E-2</v>
      </c>
      <c r="J32" s="50">
        <f>'Raw Data'!F32/I32</f>
        <v>0</v>
      </c>
      <c r="K32" s="24">
        <f t="shared" si="6"/>
        <v>9.2710322268864352E-3</v>
      </c>
      <c r="L32" s="63">
        <f>A32*Table!$AC$9/$AC$16</f>
        <v>1.1845737733296025</v>
      </c>
      <c r="M32" s="63">
        <f>A32*Table!$AD$9/$AC$16</f>
        <v>0.40613957942729229</v>
      </c>
      <c r="N32" s="63">
        <f>ABS(A32*Table!$AE$9/$AC$16)</f>
        <v>0.51293549018011253</v>
      </c>
      <c r="O32" s="63">
        <f>($L32*(Table!$AC$10/Table!$AC$9)/(Table!$AC$12-Table!$AC$14))</f>
        <v>2.5409132847052822</v>
      </c>
      <c r="P32" s="63">
        <f>ROUND(($N32*(Table!$AE$10/Table!$AE$9)/(Table!$AC$12-Table!$AC$13)),2)</f>
        <v>4.21</v>
      </c>
      <c r="Q32" s="63">
        <f>'Raw Data'!C32</f>
        <v>0</v>
      </c>
      <c r="R32" s="63">
        <f>'Raw Data'!C32/'Raw Data'!I$30*100</f>
        <v>0</v>
      </c>
      <c r="S32" s="10">
        <f t="shared" si="7"/>
        <v>0</v>
      </c>
      <c r="T32" s="10">
        <f t="shared" si="8"/>
        <v>1</v>
      </c>
      <c r="U32" s="41">
        <f t="shared" si="9"/>
        <v>0</v>
      </c>
      <c r="V32" s="41">
        <f t="shared" si="10"/>
        <v>0</v>
      </c>
      <c r="W32" s="41">
        <f t="shared" si="11"/>
        <v>0</v>
      </c>
      <c r="X32" s="107">
        <f t="shared" si="12"/>
        <v>0</v>
      </c>
      <c r="AS32" s="157"/>
      <c r="AT32" s="157"/>
    </row>
    <row r="33" spans="1:46" ht="12.4" customHeight="1" x14ac:dyDescent="0.2">
      <c r="A33" s="63">
        <v>5.7682843208312988</v>
      </c>
      <c r="B33" s="84">
        <v>0</v>
      </c>
      <c r="C33" s="84">
        <f t="shared" si="1"/>
        <v>1</v>
      </c>
      <c r="D33" s="62">
        <f t="shared" si="2"/>
        <v>0</v>
      </c>
      <c r="E33" s="50">
        <f>(2*Table!$AC$16*0.147)/A33</f>
        <v>15.889488133274735</v>
      </c>
      <c r="F33" s="50">
        <f t="shared" si="3"/>
        <v>31.778976266549471</v>
      </c>
      <c r="G33" s="63">
        <f>IF((('Raw Data'!C33)/('Raw Data'!C$136)*100)&lt;0,0,('Raw Data'!C33)/('Raw Data'!C$136)*100)</f>
        <v>0</v>
      </c>
      <c r="H33" s="63">
        <f t="shared" si="4"/>
        <v>0</v>
      </c>
      <c r="I33" s="36">
        <f t="shared" si="5"/>
        <v>3.8773350375797211E-2</v>
      </c>
      <c r="J33" s="50">
        <f>'Raw Data'!F33/I33</f>
        <v>0</v>
      </c>
      <c r="K33" s="24">
        <f t="shared" si="6"/>
        <v>1.0136813145340141E-2</v>
      </c>
      <c r="L33" s="63">
        <f>A33*Table!$AC$9/$AC$16</f>
        <v>1.2951959073434656</v>
      </c>
      <c r="M33" s="63">
        <f>A33*Table!$AD$9/$AC$16</f>
        <v>0.44406716823204534</v>
      </c>
      <c r="N33" s="63">
        <f>ABS(A33*Table!$AE$9/$AC$16)</f>
        <v>0.56083627931853863</v>
      </c>
      <c r="O33" s="63">
        <f>($L33*(Table!$AC$10/Table!$AC$9)/(Table!$AC$12-Table!$AC$14))</f>
        <v>2.7781979994497337</v>
      </c>
      <c r="P33" s="63">
        <f>ROUND(($N33*(Table!$AE$10/Table!$AE$9)/(Table!$AC$12-Table!$AC$13)),2)</f>
        <v>4.5999999999999996</v>
      </c>
      <c r="Q33" s="63">
        <f>'Raw Data'!C33</f>
        <v>0</v>
      </c>
      <c r="R33" s="63">
        <f>'Raw Data'!C33/'Raw Data'!I$30*100</f>
        <v>0</v>
      </c>
      <c r="S33" s="10">
        <f t="shared" si="7"/>
        <v>0</v>
      </c>
      <c r="T33" s="10">
        <f t="shared" si="8"/>
        <v>1</v>
      </c>
      <c r="U33" s="41">
        <f t="shared" si="9"/>
        <v>0</v>
      </c>
      <c r="V33" s="41">
        <f t="shared" si="10"/>
        <v>0</v>
      </c>
      <c r="W33" s="41">
        <f t="shared" si="11"/>
        <v>0</v>
      </c>
      <c r="X33" s="107">
        <f t="shared" si="12"/>
        <v>0</v>
      </c>
      <c r="AS33" s="157"/>
      <c r="AT33" s="157"/>
    </row>
    <row r="34" spans="1:46" ht="12.4" customHeight="1" x14ac:dyDescent="0.2">
      <c r="A34" s="63">
        <v>6.3048362731933594</v>
      </c>
      <c r="B34" s="84">
        <v>0</v>
      </c>
      <c r="C34" s="84">
        <f t="shared" si="1"/>
        <v>1</v>
      </c>
      <c r="D34" s="62">
        <f t="shared" si="2"/>
        <v>0</v>
      </c>
      <c r="E34" s="50">
        <f>(2*Table!$AC$16*0.147)/A34</f>
        <v>14.537266519496933</v>
      </c>
      <c r="F34" s="50">
        <f t="shared" si="3"/>
        <v>29.074533038993867</v>
      </c>
      <c r="G34" s="63">
        <f>IF((('Raw Data'!C34)/('Raw Data'!C$136)*100)&lt;0,0,('Raw Data'!C34)/('Raw Data'!C$136)*100)</f>
        <v>0</v>
      </c>
      <c r="H34" s="63">
        <f t="shared" si="4"/>
        <v>0</v>
      </c>
      <c r="I34" s="36">
        <f t="shared" si="5"/>
        <v>3.8627154330431512E-2</v>
      </c>
      <c r="J34" s="50">
        <f>'Raw Data'!F34/I34</f>
        <v>0</v>
      </c>
      <c r="K34" s="24">
        <f t="shared" si="6"/>
        <v>1.1079715155946619E-2</v>
      </c>
      <c r="L34" s="63">
        <f>A34*Table!$AC$9/$AC$16</f>
        <v>1.4156719196417524</v>
      </c>
      <c r="M34" s="63">
        <f>A34*Table!$AD$9/$AC$16</f>
        <v>0.48537322959145796</v>
      </c>
      <c r="N34" s="63">
        <f>ABS(A34*Table!$AE$9/$AC$16)</f>
        <v>0.61300392291702011</v>
      </c>
      <c r="O34" s="63">
        <f>($L34*(Table!$AC$10/Table!$AC$9)/(Table!$AC$12-Table!$AC$14))</f>
        <v>3.0366193042508636</v>
      </c>
      <c r="P34" s="63">
        <f>ROUND(($N34*(Table!$AE$10/Table!$AE$9)/(Table!$AC$12-Table!$AC$13)),2)</f>
        <v>5.03</v>
      </c>
      <c r="Q34" s="63">
        <f>'Raw Data'!C34</f>
        <v>0</v>
      </c>
      <c r="R34" s="63">
        <f>'Raw Data'!C34/'Raw Data'!I$30*100</f>
        <v>0</v>
      </c>
      <c r="S34" s="10">
        <f t="shared" si="7"/>
        <v>0</v>
      </c>
      <c r="T34" s="10">
        <f t="shared" si="8"/>
        <v>1</v>
      </c>
      <c r="U34" s="41">
        <f t="shared" si="9"/>
        <v>0</v>
      </c>
      <c r="V34" s="41">
        <f t="shared" si="10"/>
        <v>0</v>
      </c>
      <c r="W34" s="41">
        <f t="shared" si="11"/>
        <v>0</v>
      </c>
      <c r="X34" s="107">
        <f t="shared" si="12"/>
        <v>0</v>
      </c>
      <c r="AS34" s="157"/>
      <c r="AT34" s="157"/>
    </row>
    <row r="35" spans="1:46" ht="12.4" customHeight="1" x14ac:dyDescent="0.2">
      <c r="A35" s="63">
        <v>6.9050431251525879</v>
      </c>
      <c r="B35" s="84">
        <v>0</v>
      </c>
      <c r="C35" s="84">
        <f t="shared" si="1"/>
        <v>1</v>
      </c>
      <c r="D35" s="62">
        <f t="shared" si="2"/>
        <v>0</v>
      </c>
      <c r="E35" s="50">
        <f>(2*Table!$AC$16*0.147)/A35</f>
        <v>13.273644147324314</v>
      </c>
      <c r="F35" s="50">
        <f t="shared" si="3"/>
        <v>26.547288294648627</v>
      </c>
      <c r="G35" s="63">
        <f>IF((('Raw Data'!C35)/('Raw Data'!C$136)*100)&lt;0,0,('Raw Data'!C35)/('Raw Data'!C$136)*100)</f>
        <v>0</v>
      </c>
      <c r="H35" s="63">
        <f t="shared" si="4"/>
        <v>0</v>
      </c>
      <c r="I35" s="36">
        <f t="shared" si="5"/>
        <v>3.9492582188504821E-2</v>
      </c>
      <c r="J35" s="50">
        <f>'Raw Data'!F35/I35</f>
        <v>0</v>
      </c>
      <c r="K35" s="24">
        <f t="shared" si="6"/>
        <v>1.2134480207123344E-2</v>
      </c>
      <c r="L35" s="63">
        <f>A35*Table!$AC$9/$AC$16</f>
        <v>1.5504408413832982</v>
      </c>
      <c r="M35" s="63">
        <f>A35*Table!$AD$9/$AC$16</f>
        <v>0.53157971704570217</v>
      </c>
      <c r="N35" s="63">
        <f>ABS(A35*Table!$AE$9/$AC$16)</f>
        <v>0.67136057785142778</v>
      </c>
      <c r="O35" s="63">
        <f>($L35*(Table!$AC$10/Table!$AC$9)/(Table!$AC$12-Table!$AC$14))</f>
        <v>3.325698930466106</v>
      </c>
      <c r="P35" s="63">
        <f>ROUND(($N35*(Table!$AE$10/Table!$AE$9)/(Table!$AC$12-Table!$AC$13)),2)</f>
        <v>5.51</v>
      </c>
      <c r="Q35" s="63">
        <f>'Raw Data'!C35</f>
        <v>0</v>
      </c>
      <c r="R35" s="63">
        <f>'Raw Data'!C35/'Raw Data'!I$30*100</f>
        <v>0</v>
      </c>
      <c r="S35" s="10">
        <f t="shared" si="7"/>
        <v>0</v>
      </c>
      <c r="T35" s="10">
        <f t="shared" si="8"/>
        <v>1</v>
      </c>
      <c r="U35" s="41">
        <f t="shared" si="9"/>
        <v>0</v>
      </c>
      <c r="V35" s="41">
        <f t="shared" si="10"/>
        <v>0</v>
      </c>
      <c r="W35" s="41">
        <f t="shared" si="11"/>
        <v>0</v>
      </c>
      <c r="X35" s="107">
        <f t="shared" si="12"/>
        <v>0</v>
      </c>
      <c r="AS35" s="157"/>
      <c r="AT35" s="157"/>
    </row>
    <row r="36" spans="1:46" ht="12.4" customHeight="1" x14ac:dyDescent="0.2">
      <c r="A36" s="63">
        <v>7.5520882606506348</v>
      </c>
      <c r="B36" s="84">
        <v>0</v>
      </c>
      <c r="C36" s="84">
        <f t="shared" si="1"/>
        <v>1</v>
      </c>
      <c r="D36" s="62">
        <f t="shared" si="2"/>
        <v>0</v>
      </c>
      <c r="E36" s="50">
        <f>(2*Table!$AC$16*0.147)/A36</f>
        <v>12.136389578861634</v>
      </c>
      <c r="F36" s="50">
        <f t="shared" si="3"/>
        <v>24.272779157723267</v>
      </c>
      <c r="G36" s="63">
        <f>IF((('Raw Data'!C36)/('Raw Data'!C$136)*100)&lt;0,0,('Raw Data'!C36)/('Raw Data'!C$136)*100)</f>
        <v>0</v>
      </c>
      <c r="H36" s="63">
        <f t="shared" si="4"/>
        <v>0</v>
      </c>
      <c r="I36" s="36">
        <f t="shared" si="5"/>
        <v>3.8900661593697761E-2</v>
      </c>
      <c r="J36" s="50">
        <f>'Raw Data'!F36/I36</f>
        <v>0</v>
      </c>
      <c r="K36" s="24">
        <f t="shared" si="6"/>
        <v>1.3271555855675935E-2</v>
      </c>
      <c r="L36" s="63">
        <f>A36*Table!$AC$9/$AC$16</f>
        <v>1.6957267123201858</v>
      </c>
      <c r="M36" s="63">
        <f>A36*Table!$AD$9/$AC$16</f>
        <v>0.5813920156526351</v>
      </c>
      <c r="N36" s="63">
        <f>ABS(A36*Table!$AE$9/$AC$16)</f>
        <v>0.73427120537257373</v>
      </c>
      <c r="O36" s="63">
        <f>($L36*(Table!$AC$10/Table!$AC$9)/(Table!$AC$12-Table!$AC$14))</f>
        <v>3.6373374352642345</v>
      </c>
      <c r="P36" s="63">
        <f>ROUND(($N36*(Table!$AE$10/Table!$AE$9)/(Table!$AC$12-Table!$AC$13)),2)</f>
        <v>6.03</v>
      </c>
      <c r="Q36" s="63">
        <f>'Raw Data'!C36</f>
        <v>0</v>
      </c>
      <c r="R36" s="63">
        <f>'Raw Data'!C36/'Raw Data'!I$30*100</f>
        <v>0</v>
      </c>
      <c r="S36" s="10">
        <f t="shared" si="7"/>
        <v>0</v>
      </c>
      <c r="T36" s="10">
        <f t="shared" si="8"/>
        <v>1</v>
      </c>
      <c r="U36" s="41">
        <f t="shared" si="9"/>
        <v>0</v>
      </c>
      <c r="V36" s="41">
        <f t="shared" si="10"/>
        <v>0</v>
      </c>
      <c r="W36" s="41">
        <f t="shared" si="11"/>
        <v>0</v>
      </c>
      <c r="X36" s="107">
        <f t="shared" si="12"/>
        <v>0</v>
      </c>
      <c r="AS36" s="157"/>
      <c r="AT36" s="157"/>
    </row>
    <row r="37" spans="1:46" ht="12.4" customHeight="1" x14ac:dyDescent="0.2">
      <c r="A37" s="63">
        <v>8.2457265853881836</v>
      </c>
      <c r="B37" s="84">
        <v>0</v>
      </c>
      <c r="C37" s="84">
        <f t="shared" si="1"/>
        <v>1</v>
      </c>
      <c r="D37" s="62">
        <f t="shared" si="2"/>
        <v>0</v>
      </c>
      <c r="E37" s="50">
        <f>(2*Table!$AC$16*0.147)/A37</f>
        <v>11.115465000697546</v>
      </c>
      <c r="F37" s="50">
        <f t="shared" si="3"/>
        <v>22.230930001395091</v>
      </c>
      <c r="G37" s="63">
        <f>IF((('Raw Data'!C37)/('Raw Data'!C$136)*100)&lt;0,0,('Raw Data'!C37)/('Raw Data'!C$136)*100)</f>
        <v>0</v>
      </c>
      <c r="H37" s="63">
        <f t="shared" si="4"/>
        <v>0</v>
      </c>
      <c r="I37" s="36">
        <f t="shared" si="5"/>
        <v>3.8161873335169627E-2</v>
      </c>
      <c r="J37" s="50">
        <f>'Raw Data'!F37/I37</f>
        <v>0</v>
      </c>
      <c r="K37" s="24">
        <f t="shared" si="6"/>
        <v>1.4490511388592175E-2</v>
      </c>
      <c r="L37" s="63">
        <f>A37*Table!$AC$9/$AC$16</f>
        <v>1.8514744996010972</v>
      </c>
      <c r="M37" s="63">
        <f>A37*Table!$AD$9/$AC$16</f>
        <v>0.63479125700609051</v>
      </c>
      <c r="N37" s="63">
        <f>ABS(A37*Table!$AE$9/$AC$16)</f>
        <v>0.80171197555681595</v>
      </c>
      <c r="O37" s="63">
        <f>($L37*(Table!$AC$10/Table!$AC$9)/(Table!$AC$12-Table!$AC$14))</f>
        <v>3.9714167730611272</v>
      </c>
      <c r="P37" s="63">
        <f>ROUND(($N37*(Table!$AE$10/Table!$AE$9)/(Table!$AC$12-Table!$AC$13)),2)</f>
        <v>6.58</v>
      </c>
      <c r="Q37" s="63">
        <f>'Raw Data'!C37</f>
        <v>0</v>
      </c>
      <c r="R37" s="63">
        <f>'Raw Data'!C37/'Raw Data'!I$30*100</f>
        <v>0</v>
      </c>
      <c r="S37" s="10">
        <f t="shared" si="7"/>
        <v>0</v>
      </c>
      <c r="T37" s="10">
        <f t="shared" si="8"/>
        <v>1</v>
      </c>
      <c r="U37" s="41">
        <f t="shared" si="9"/>
        <v>0</v>
      </c>
      <c r="V37" s="41">
        <f t="shared" si="10"/>
        <v>0</v>
      </c>
      <c r="W37" s="41">
        <f t="shared" si="11"/>
        <v>0</v>
      </c>
      <c r="X37" s="107">
        <f t="shared" si="12"/>
        <v>0</v>
      </c>
      <c r="AS37" s="157"/>
      <c r="AT37" s="157"/>
    </row>
    <row r="38" spans="1:46" ht="12.4" customHeight="1" x14ac:dyDescent="0.2">
      <c r="A38" s="63">
        <v>9.0223779678344727</v>
      </c>
      <c r="B38" s="84">
        <v>0</v>
      </c>
      <c r="C38" s="84">
        <f t="shared" si="1"/>
        <v>1</v>
      </c>
      <c r="D38" s="62">
        <f t="shared" si="2"/>
        <v>0</v>
      </c>
      <c r="E38" s="50">
        <f>(2*Table!$AC$16*0.147)/A38</f>
        <v>10.158639506343187</v>
      </c>
      <c r="F38" s="50">
        <f t="shared" si="3"/>
        <v>20.317279012686374</v>
      </c>
      <c r="G38" s="63">
        <f>IF((('Raw Data'!C38)/('Raw Data'!C$136)*100)&lt;0,0,('Raw Data'!C38)/('Raw Data'!C$136)*100)</f>
        <v>0</v>
      </c>
      <c r="H38" s="63">
        <f t="shared" si="4"/>
        <v>0</v>
      </c>
      <c r="I38" s="36">
        <f t="shared" si="5"/>
        <v>3.9092086501956391E-2</v>
      </c>
      <c r="J38" s="50">
        <f>'Raw Data'!F38/I38</f>
        <v>0</v>
      </c>
      <c r="K38" s="24">
        <f t="shared" si="6"/>
        <v>1.5855348748376401E-2</v>
      </c>
      <c r="L38" s="63">
        <f>A38*Table!$AC$9/$AC$16</f>
        <v>2.0258618279691465</v>
      </c>
      <c r="M38" s="63">
        <f>A38*Table!$AD$9/$AC$16</f>
        <v>0.69458119816085029</v>
      </c>
      <c r="N38" s="63">
        <f>ABS(A38*Table!$AE$9/$AC$16)</f>
        <v>0.87722390378923065</v>
      </c>
      <c r="O38" s="63">
        <f>($L38*(Table!$AC$10/Table!$AC$9)/(Table!$AC$12-Table!$AC$14))</f>
        <v>4.3454779664717869</v>
      </c>
      <c r="P38" s="63">
        <f>ROUND(($N38*(Table!$AE$10/Table!$AE$9)/(Table!$AC$12-Table!$AC$13)),2)</f>
        <v>7.2</v>
      </c>
      <c r="Q38" s="63">
        <f>'Raw Data'!C38</f>
        <v>0</v>
      </c>
      <c r="R38" s="63">
        <f>'Raw Data'!C38/'Raw Data'!I$30*100</f>
        <v>0</v>
      </c>
      <c r="S38" s="10">
        <f t="shared" si="7"/>
        <v>0</v>
      </c>
      <c r="T38" s="10">
        <f t="shared" si="8"/>
        <v>1</v>
      </c>
      <c r="U38" s="41">
        <f t="shared" si="9"/>
        <v>0</v>
      </c>
      <c r="V38" s="41">
        <f t="shared" si="10"/>
        <v>0</v>
      </c>
      <c r="W38" s="41">
        <f t="shared" si="11"/>
        <v>0</v>
      </c>
      <c r="X38" s="107">
        <f t="shared" si="12"/>
        <v>0</v>
      </c>
      <c r="AS38" s="157"/>
      <c r="AT38" s="157"/>
    </row>
    <row r="39" spans="1:46" ht="12.4" customHeight="1" x14ac:dyDescent="0.2">
      <c r="A39" s="63">
        <v>9.8756437301635742</v>
      </c>
      <c r="B39" s="84">
        <v>0</v>
      </c>
      <c r="C39" s="84">
        <f t="shared" si="1"/>
        <v>1</v>
      </c>
      <c r="D39" s="62">
        <f t="shared" si="2"/>
        <v>0</v>
      </c>
      <c r="E39" s="50">
        <f>(2*Table!$AC$16*0.147)/A39</f>
        <v>9.2809226182651603</v>
      </c>
      <c r="F39" s="50">
        <f t="shared" si="3"/>
        <v>18.561845236530321</v>
      </c>
      <c r="G39" s="63">
        <f>IF((('Raw Data'!C39)/('Raw Data'!C$136)*100)&lt;0,0,('Raw Data'!C39)/('Raw Data'!C$136)*100)</f>
        <v>0</v>
      </c>
      <c r="H39" s="63">
        <f t="shared" si="4"/>
        <v>0</v>
      </c>
      <c r="I39" s="36">
        <f t="shared" si="5"/>
        <v>3.9244397384067597E-2</v>
      </c>
      <c r="J39" s="50">
        <f>'Raw Data'!F39/I39</f>
        <v>0</v>
      </c>
      <c r="K39" s="24">
        <f t="shared" si="6"/>
        <v>1.7354823308742696E-2</v>
      </c>
      <c r="L39" s="63">
        <f>A39*Table!$AC$9/$AC$16</f>
        <v>2.2174519545608411</v>
      </c>
      <c r="M39" s="63">
        <f>A39*Table!$AD$9/$AC$16</f>
        <v>0.76026924156371689</v>
      </c>
      <c r="N39" s="63">
        <f>ABS(A39*Table!$AE$9/$AC$16)</f>
        <v>0.96018486216057264</v>
      </c>
      <c r="O39" s="63">
        <f>($L39*(Table!$AC$10/Table!$AC$9)/(Table!$AC$12-Table!$AC$14))</f>
        <v>4.7564391989722035</v>
      </c>
      <c r="P39" s="63">
        <f>ROUND(($N39*(Table!$AE$10/Table!$AE$9)/(Table!$AC$12-Table!$AC$13)),2)</f>
        <v>7.88</v>
      </c>
      <c r="Q39" s="63">
        <f>'Raw Data'!C39</f>
        <v>0</v>
      </c>
      <c r="R39" s="63">
        <f>'Raw Data'!C39/'Raw Data'!I$30*100</f>
        <v>0</v>
      </c>
      <c r="S39" s="10">
        <f t="shared" si="7"/>
        <v>0</v>
      </c>
      <c r="T39" s="10">
        <f t="shared" si="8"/>
        <v>1</v>
      </c>
      <c r="U39" s="41">
        <f t="shared" si="9"/>
        <v>0</v>
      </c>
      <c r="V39" s="41">
        <f t="shared" si="10"/>
        <v>0</v>
      </c>
      <c r="W39" s="41">
        <f t="shared" si="11"/>
        <v>0</v>
      </c>
      <c r="X39" s="107">
        <f t="shared" si="12"/>
        <v>0</v>
      </c>
      <c r="AS39" s="157"/>
      <c r="AT39" s="157"/>
    </row>
    <row r="40" spans="1:46" ht="12.4" customHeight="1" x14ac:dyDescent="0.2">
      <c r="A40" s="63">
        <v>10.786002159118652</v>
      </c>
      <c r="B40" s="84">
        <v>0</v>
      </c>
      <c r="C40" s="84">
        <f t="shared" si="1"/>
        <v>1</v>
      </c>
      <c r="D40" s="62">
        <f t="shared" si="2"/>
        <v>0</v>
      </c>
      <c r="E40" s="50">
        <f>(2*Table!$AC$16*0.147)/A40</f>
        <v>8.4975956719716592</v>
      </c>
      <c r="F40" s="50">
        <f t="shared" si="3"/>
        <v>16.995191343943318</v>
      </c>
      <c r="G40" s="63">
        <f>IF((('Raw Data'!C40)/('Raw Data'!C$136)*100)&lt;0,0,('Raw Data'!C40)/('Raw Data'!C$136)*100)</f>
        <v>0</v>
      </c>
      <c r="H40" s="63">
        <f t="shared" si="4"/>
        <v>0</v>
      </c>
      <c r="I40" s="36">
        <f t="shared" si="5"/>
        <v>3.82950887825938E-2</v>
      </c>
      <c r="J40" s="50">
        <f>'Raw Data'!F40/I40</f>
        <v>0</v>
      </c>
      <c r="K40" s="24">
        <f t="shared" si="6"/>
        <v>1.8954628862064157E-2</v>
      </c>
      <c r="L40" s="63">
        <f>A40*Table!$AC$9/$AC$16</f>
        <v>2.4218615234754881</v>
      </c>
      <c r="M40" s="63">
        <f>A40*Table!$AD$9/$AC$16</f>
        <v>0.83035252233445311</v>
      </c>
      <c r="N40" s="63">
        <f>ABS(A40*Table!$AE$9/$AC$16)</f>
        <v>1.0486968018889278</v>
      </c>
      <c r="O40" s="63">
        <f>($L40*(Table!$AC$10/Table!$AC$9)/(Table!$AC$12-Table!$AC$14))</f>
        <v>5.1948981627530859</v>
      </c>
      <c r="P40" s="63">
        <f>ROUND(($N40*(Table!$AE$10/Table!$AE$9)/(Table!$AC$12-Table!$AC$13)),2)</f>
        <v>8.61</v>
      </c>
      <c r="Q40" s="63">
        <f>'Raw Data'!C40</f>
        <v>0</v>
      </c>
      <c r="R40" s="63">
        <f>'Raw Data'!C40/'Raw Data'!I$30*100</f>
        <v>0</v>
      </c>
      <c r="S40" s="10">
        <f t="shared" si="7"/>
        <v>0</v>
      </c>
      <c r="T40" s="10">
        <f t="shared" si="8"/>
        <v>1</v>
      </c>
      <c r="U40" s="41">
        <f t="shared" si="9"/>
        <v>0</v>
      </c>
      <c r="V40" s="41">
        <f t="shared" si="10"/>
        <v>0</v>
      </c>
      <c r="W40" s="41">
        <f t="shared" si="11"/>
        <v>0</v>
      </c>
      <c r="X40" s="107">
        <f t="shared" si="12"/>
        <v>0</v>
      </c>
      <c r="AS40" s="157"/>
      <c r="AT40" s="157"/>
    </row>
    <row r="41" spans="1:46" ht="12.4" customHeight="1" x14ac:dyDescent="0.2">
      <c r="A41" s="63">
        <v>11.88691520690918</v>
      </c>
      <c r="B41" s="84">
        <v>0</v>
      </c>
      <c r="C41" s="84">
        <f t="shared" si="1"/>
        <v>1</v>
      </c>
      <c r="D41" s="62">
        <f t="shared" si="2"/>
        <v>0</v>
      </c>
      <c r="E41" s="50">
        <f>(2*Table!$AC$16*0.147)/A41</f>
        <v>7.7105862765749196</v>
      </c>
      <c r="F41" s="50">
        <f t="shared" si="3"/>
        <v>15.421172553149839</v>
      </c>
      <c r="G41" s="63">
        <f>IF((('Raw Data'!C41)/('Raw Data'!C$136)*100)&lt;0,0,('Raw Data'!C41)/('Raw Data'!C$136)*100)</f>
        <v>0</v>
      </c>
      <c r="H41" s="63">
        <f t="shared" si="4"/>
        <v>0</v>
      </c>
      <c r="I41" s="36">
        <f t="shared" si="5"/>
        <v>4.2208661870261399E-2</v>
      </c>
      <c r="J41" s="50">
        <f>'Raw Data'!F41/I41</f>
        <v>0</v>
      </c>
      <c r="K41" s="24">
        <f t="shared" si="6"/>
        <v>2.0889302888865809E-2</v>
      </c>
      <c r="L41" s="63">
        <f>A41*Table!$AC$9/$AC$16</f>
        <v>2.6690577424083681</v>
      </c>
      <c r="M41" s="63">
        <f>A41*Table!$AD$9/$AC$16</f>
        <v>0.91510551168286913</v>
      </c>
      <c r="N41" s="63">
        <f>ABS(A41*Table!$AE$9/$AC$16)</f>
        <v>1.1557359045465947</v>
      </c>
      <c r="O41" s="63">
        <f>($L41*(Table!$AC$10/Table!$AC$9)/(Table!$AC$12-Table!$AC$14))</f>
        <v>5.7251345826005329</v>
      </c>
      <c r="P41" s="63">
        <f>ROUND(($N41*(Table!$AE$10/Table!$AE$9)/(Table!$AC$12-Table!$AC$13)),2)</f>
        <v>9.49</v>
      </c>
      <c r="Q41" s="63">
        <f>'Raw Data'!C41</f>
        <v>0</v>
      </c>
      <c r="R41" s="63">
        <f>'Raw Data'!C41/'Raw Data'!I$30*100</f>
        <v>0</v>
      </c>
      <c r="S41" s="10">
        <f t="shared" si="7"/>
        <v>0</v>
      </c>
      <c r="T41" s="10">
        <f t="shared" si="8"/>
        <v>1</v>
      </c>
      <c r="U41" s="41">
        <f t="shared" si="9"/>
        <v>0</v>
      </c>
      <c r="V41" s="41">
        <f t="shared" si="10"/>
        <v>0</v>
      </c>
      <c r="W41" s="41">
        <f t="shared" si="11"/>
        <v>0</v>
      </c>
      <c r="X41" s="107">
        <f t="shared" si="12"/>
        <v>0</v>
      </c>
      <c r="AS41" s="157"/>
      <c r="AT41" s="157"/>
    </row>
    <row r="42" spans="1:46" ht="12.4" customHeight="1" x14ac:dyDescent="0.2">
      <c r="A42" s="63">
        <v>12.87938404083252</v>
      </c>
      <c r="B42" s="84">
        <v>0</v>
      </c>
      <c r="C42" s="84">
        <f t="shared" si="1"/>
        <v>1</v>
      </c>
      <c r="D42" s="62">
        <f t="shared" si="2"/>
        <v>0</v>
      </c>
      <c r="E42" s="50">
        <f>(2*Table!$AC$16*0.147)/A42</f>
        <v>7.116418376424086</v>
      </c>
      <c r="F42" s="50">
        <f t="shared" si="3"/>
        <v>14.232836752848172</v>
      </c>
      <c r="G42" s="63">
        <f>IF((('Raw Data'!C42)/('Raw Data'!C$136)*100)&lt;0,0,('Raw Data'!C42)/('Raw Data'!C$136)*100)</f>
        <v>0</v>
      </c>
      <c r="H42" s="63">
        <f t="shared" si="4"/>
        <v>0</v>
      </c>
      <c r="I42" s="36">
        <f t="shared" si="5"/>
        <v>3.4825928539764073E-2</v>
      </c>
      <c r="J42" s="50">
        <f>'Raw Data'!F42/I42</f>
        <v>0</v>
      </c>
      <c r="K42" s="24">
        <f t="shared" si="6"/>
        <v>2.2633404004984967E-2</v>
      </c>
      <c r="L42" s="63">
        <f>A42*Table!$AC$9/$AC$16</f>
        <v>2.891904173056953</v>
      </c>
      <c r="M42" s="63">
        <f>A42*Table!$AD$9/$AC$16</f>
        <v>0.99151000219095531</v>
      </c>
      <c r="N42" s="63">
        <f>ABS(A42*Table!$AE$9/$AC$16)</f>
        <v>1.2522312395887756</v>
      </c>
      <c r="O42" s="63">
        <f>($L42*(Table!$AC$10/Table!$AC$9)/(Table!$AC$12-Table!$AC$14))</f>
        <v>6.2031406543478189</v>
      </c>
      <c r="P42" s="63">
        <f>ROUND(($N42*(Table!$AE$10/Table!$AE$9)/(Table!$AC$12-Table!$AC$13)),2)</f>
        <v>10.28</v>
      </c>
      <c r="Q42" s="63">
        <f>'Raw Data'!C42</f>
        <v>0</v>
      </c>
      <c r="R42" s="63">
        <f>'Raw Data'!C42/'Raw Data'!I$30*100</f>
        <v>0</v>
      </c>
      <c r="S42" s="10">
        <f t="shared" si="7"/>
        <v>0</v>
      </c>
      <c r="T42" s="10">
        <f t="shared" si="8"/>
        <v>1</v>
      </c>
      <c r="U42" s="41">
        <f t="shared" si="9"/>
        <v>0</v>
      </c>
      <c r="V42" s="41">
        <f t="shared" si="10"/>
        <v>0</v>
      </c>
      <c r="W42" s="41">
        <f t="shared" si="11"/>
        <v>0</v>
      </c>
      <c r="X42" s="107">
        <f t="shared" si="12"/>
        <v>0</v>
      </c>
      <c r="AS42" s="157"/>
      <c r="AT42" s="157"/>
    </row>
    <row r="43" spans="1:46" ht="12.4" customHeight="1" x14ac:dyDescent="0.2">
      <c r="A43" s="63">
        <v>14.18340015411377</v>
      </c>
      <c r="B43" s="84">
        <v>0</v>
      </c>
      <c r="C43" s="84">
        <f t="shared" si="1"/>
        <v>1</v>
      </c>
      <c r="D43" s="62">
        <f t="shared" si="2"/>
        <v>0</v>
      </c>
      <c r="E43" s="50">
        <f>(2*Table!$AC$16*0.147)/A43</f>
        <v>6.4621377292679636</v>
      </c>
      <c r="F43" s="50">
        <f t="shared" si="3"/>
        <v>12.924275458535927</v>
      </c>
      <c r="G43" s="63">
        <f>IF((('Raw Data'!C43)/('Raw Data'!C$136)*100)&lt;0,0,('Raw Data'!C43)/('Raw Data'!C$136)*100)</f>
        <v>0</v>
      </c>
      <c r="H43" s="63">
        <f t="shared" si="4"/>
        <v>0</v>
      </c>
      <c r="I43" s="36">
        <f t="shared" si="5"/>
        <v>4.1885262453951633E-2</v>
      </c>
      <c r="J43" s="50">
        <f>'Raw Data'!F43/I43</f>
        <v>0</v>
      </c>
      <c r="K43" s="24">
        <f t="shared" si="6"/>
        <v>2.4924998341121943E-2</v>
      </c>
      <c r="L43" s="63">
        <f>A43*Table!$AC$9/$AC$16</f>
        <v>3.1847046383413002</v>
      </c>
      <c r="M43" s="63">
        <f>A43*Table!$AD$9/$AC$16</f>
        <v>1.0918987331455885</v>
      </c>
      <c r="N43" s="63">
        <f>ABS(A43*Table!$AE$9/$AC$16)</f>
        <v>1.3790175601768495</v>
      </c>
      <c r="O43" s="63">
        <f>($L43*(Table!$AC$10/Table!$AC$9)/(Table!$AC$12-Table!$AC$14))</f>
        <v>6.8311982804403701</v>
      </c>
      <c r="P43" s="63">
        <f>ROUND(($N43*(Table!$AE$10/Table!$AE$9)/(Table!$AC$12-Table!$AC$13)),2)</f>
        <v>11.32</v>
      </c>
      <c r="Q43" s="63">
        <f>'Raw Data'!C43</f>
        <v>0</v>
      </c>
      <c r="R43" s="63">
        <f>'Raw Data'!C43/'Raw Data'!I$30*100</f>
        <v>0</v>
      </c>
      <c r="S43" s="10">
        <f t="shared" si="7"/>
        <v>0</v>
      </c>
      <c r="T43" s="10">
        <f t="shared" si="8"/>
        <v>1</v>
      </c>
      <c r="U43" s="41">
        <f t="shared" si="9"/>
        <v>0</v>
      </c>
      <c r="V43" s="41">
        <f t="shared" si="10"/>
        <v>0</v>
      </c>
      <c r="W43" s="41">
        <f t="shared" si="11"/>
        <v>0</v>
      </c>
      <c r="X43" s="107">
        <f t="shared" si="12"/>
        <v>0</v>
      </c>
      <c r="AS43" s="157"/>
      <c r="AT43" s="157"/>
    </row>
    <row r="44" spans="1:46" ht="12.4" customHeight="1" x14ac:dyDescent="0.2">
      <c r="A44" s="63">
        <v>15.473307609558105</v>
      </c>
      <c r="B44" s="84">
        <v>0</v>
      </c>
      <c r="C44" s="84">
        <f t="shared" si="1"/>
        <v>1</v>
      </c>
      <c r="D44" s="62">
        <f t="shared" si="2"/>
        <v>0</v>
      </c>
      <c r="E44" s="50">
        <f>(2*Table!$AC$16*0.147)/A44</f>
        <v>5.9234319886839737</v>
      </c>
      <c r="F44" s="50">
        <f t="shared" si="3"/>
        <v>11.846863977367947</v>
      </c>
      <c r="G44" s="63">
        <f>IF((('Raw Data'!C44)/('Raw Data'!C$136)*100)&lt;0,0,('Raw Data'!C44)/('Raw Data'!C$136)*100)</f>
        <v>0</v>
      </c>
      <c r="H44" s="63">
        <f t="shared" si="4"/>
        <v>0</v>
      </c>
      <c r="I44" s="36">
        <f t="shared" si="5"/>
        <v>3.7802803650801353E-2</v>
      </c>
      <c r="J44" s="50">
        <f>'Raw Data'!F44/I44</f>
        <v>0</v>
      </c>
      <c r="K44" s="24">
        <f t="shared" si="6"/>
        <v>2.7191799026275415E-2</v>
      </c>
      <c r="L44" s="63">
        <f>A44*Table!$AC$9/$AC$16</f>
        <v>3.4743371814373303</v>
      </c>
      <c r="M44" s="63">
        <f>A44*Table!$AD$9/$AC$16</f>
        <v>1.1912013193499418</v>
      </c>
      <c r="N44" s="63">
        <f>ABS(A44*Table!$AE$9/$AC$16)</f>
        <v>1.5044321302187764</v>
      </c>
      <c r="O44" s="63">
        <f>($L44*(Table!$AC$10/Table!$AC$9)/(Table!$AC$12-Table!$AC$14))</f>
        <v>7.4524607066437811</v>
      </c>
      <c r="P44" s="63">
        <f>ROUND(($N44*(Table!$AE$10/Table!$AE$9)/(Table!$AC$12-Table!$AC$13)),2)</f>
        <v>12.35</v>
      </c>
      <c r="Q44" s="63">
        <f>'Raw Data'!C44</f>
        <v>0</v>
      </c>
      <c r="R44" s="63">
        <f>'Raw Data'!C44/'Raw Data'!I$30*100</f>
        <v>0</v>
      </c>
      <c r="S44" s="10">
        <f t="shared" si="7"/>
        <v>0</v>
      </c>
      <c r="T44" s="10">
        <f t="shared" si="8"/>
        <v>1</v>
      </c>
      <c r="U44" s="41">
        <f t="shared" si="9"/>
        <v>0</v>
      </c>
      <c r="V44" s="41">
        <f t="shared" si="10"/>
        <v>0</v>
      </c>
      <c r="W44" s="41">
        <f t="shared" si="11"/>
        <v>0</v>
      </c>
      <c r="X44" s="107">
        <f t="shared" si="12"/>
        <v>0</v>
      </c>
      <c r="AS44" s="157"/>
      <c r="AT44" s="157"/>
    </row>
    <row r="45" spans="1:46" ht="12.4" customHeight="1" x14ac:dyDescent="0.2">
      <c r="A45" s="63">
        <v>16.871246337890625</v>
      </c>
      <c r="B45" s="84">
        <v>0</v>
      </c>
      <c r="C45" s="84">
        <f t="shared" si="1"/>
        <v>1</v>
      </c>
      <c r="D45" s="62">
        <f t="shared" si="2"/>
        <v>0</v>
      </c>
      <c r="E45" s="50">
        <f>(2*Table!$AC$16*0.147)/A45</f>
        <v>5.4326208882006686</v>
      </c>
      <c r="F45" s="50">
        <f t="shared" si="3"/>
        <v>10.865241776401337</v>
      </c>
      <c r="G45" s="63">
        <f>IF((('Raw Data'!C45)/('Raw Data'!C$136)*100)&lt;0,0,('Raw Data'!C45)/('Raw Data'!C$136)*100)</f>
        <v>0</v>
      </c>
      <c r="H45" s="63">
        <f t="shared" si="4"/>
        <v>0</v>
      </c>
      <c r="I45" s="36">
        <f t="shared" si="5"/>
        <v>3.7564007221328799E-2</v>
      </c>
      <c r="J45" s="50">
        <f>'Raw Data'!F45/I45</f>
        <v>0</v>
      </c>
      <c r="K45" s="24">
        <f t="shared" si="6"/>
        <v>2.9648446946102455E-2</v>
      </c>
      <c r="L45" s="63">
        <f>A45*Table!$AC$9/$AC$16</f>
        <v>3.7882267920992874</v>
      </c>
      <c r="M45" s="63">
        <f>A45*Table!$AD$9/$AC$16</f>
        <v>1.2988206144340415</v>
      </c>
      <c r="N45" s="63">
        <f>ABS(A45*Table!$AE$9/$AC$16)</f>
        <v>1.6403503186274071</v>
      </c>
      <c r="O45" s="63">
        <f>($L45*(Table!$AC$10/Table!$AC$9)/(Table!$AC$12-Table!$AC$14))</f>
        <v>8.1257545948075673</v>
      </c>
      <c r="P45" s="63">
        <f>ROUND(($N45*(Table!$AE$10/Table!$AE$9)/(Table!$AC$12-Table!$AC$13)),2)</f>
        <v>13.47</v>
      </c>
      <c r="Q45" s="63">
        <f>'Raw Data'!C45</f>
        <v>0</v>
      </c>
      <c r="R45" s="63">
        <f>'Raw Data'!C45/'Raw Data'!I$30*100</f>
        <v>0</v>
      </c>
      <c r="S45" s="10">
        <f t="shared" si="7"/>
        <v>0</v>
      </c>
      <c r="T45" s="10">
        <f t="shared" si="8"/>
        <v>1</v>
      </c>
      <c r="U45" s="41">
        <f t="shared" si="9"/>
        <v>0</v>
      </c>
      <c r="V45" s="41">
        <f t="shared" si="10"/>
        <v>0</v>
      </c>
      <c r="W45" s="41">
        <f t="shared" si="11"/>
        <v>0</v>
      </c>
      <c r="X45" s="107">
        <f t="shared" si="12"/>
        <v>0</v>
      </c>
      <c r="AS45" s="157"/>
      <c r="AT45" s="157"/>
    </row>
    <row r="46" spans="1:46" ht="12.4" customHeight="1" x14ac:dyDescent="0.2">
      <c r="A46" s="63">
        <v>18.465974807739258</v>
      </c>
      <c r="B46" s="84">
        <v>0</v>
      </c>
      <c r="C46" s="84">
        <f t="shared" si="1"/>
        <v>1</v>
      </c>
      <c r="D46" s="62">
        <f t="shared" si="2"/>
        <v>0</v>
      </c>
      <c r="E46" s="50">
        <f>(2*Table!$AC$16*0.147)/A46</f>
        <v>4.9634577226212917</v>
      </c>
      <c r="F46" s="50">
        <f t="shared" si="3"/>
        <v>9.9269154452425834</v>
      </c>
      <c r="G46" s="63">
        <f>IF((('Raw Data'!C46)/('Raw Data'!C$136)*100)&lt;0,0,('Raw Data'!C46)/('Raw Data'!C$136)*100)</f>
        <v>0</v>
      </c>
      <c r="H46" s="63">
        <f t="shared" si="4"/>
        <v>0</v>
      </c>
      <c r="I46" s="36">
        <f t="shared" si="5"/>
        <v>3.9225072113083792E-2</v>
      </c>
      <c r="J46" s="50">
        <f>'Raw Data'!F46/I46</f>
        <v>0</v>
      </c>
      <c r="K46" s="24">
        <f t="shared" si="6"/>
        <v>3.2450920544366435E-2</v>
      </c>
      <c r="L46" s="63">
        <f>A46*Table!$AC$9/$AC$16</f>
        <v>4.1463030713861571</v>
      </c>
      <c r="M46" s="63">
        <f>A46*Table!$AD$9/$AC$16</f>
        <v>1.4215896244752537</v>
      </c>
      <c r="N46" s="63">
        <f>ABS(A46*Table!$AE$9/$AC$16)</f>
        <v>1.7954018958049272</v>
      </c>
      <c r="O46" s="63">
        <f>($L46*(Table!$AC$10/Table!$AC$9)/(Table!$AC$12-Table!$AC$14))</f>
        <v>8.8938289819522911</v>
      </c>
      <c r="P46" s="63">
        <f>ROUND(($N46*(Table!$AE$10/Table!$AE$9)/(Table!$AC$12-Table!$AC$13)),2)</f>
        <v>14.74</v>
      </c>
      <c r="Q46" s="63">
        <f>'Raw Data'!C46</f>
        <v>0</v>
      </c>
      <c r="R46" s="63">
        <f>'Raw Data'!C46/'Raw Data'!I$30*100</f>
        <v>0</v>
      </c>
      <c r="S46" s="10">
        <f t="shared" si="7"/>
        <v>0</v>
      </c>
      <c r="T46" s="10">
        <f t="shared" si="8"/>
        <v>1</v>
      </c>
      <c r="U46" s="41">
        <f t="shared" si="9"/>
        <v>0</v>
      </c>
      <c r="V46" s="41">
        <f t="shared" si="10"/>
        <v>0</v>
      </c>
      <c r="W46" s="41">
        <f t="shared" si="11"/>
        <v>0</v>
      </c>
      <c r="X46" s="107">
        <f t="shared" si="12"/>
        <v>0</v>
      </c>
      <c r="AS46" s="157"/>
      <c r="AT46" s="157"/>
    </row>
    <row r="47" spans="1:46" ht="12.4" customHeight="1" x14ac:dyDescent="0.2">
      <c r="A47" s="63">
        <v>20.259786605834961</v>
      </c>
      <c r="B47" s="84">
        <v>0</v>
      </c>
      <c r="C47" s="84">
        <f t="shared" si="1"/>
        <v>1</v>
      </c>
      <c r="D47" s="62">
        <f t="shared" si="2"/>
        <v>0</v>
      </c>
      <c r="E47" s="50">
        <f>(2*Table!$AC$16*0.147)/A47</f>
        <v>4.5239906544132271</v>
      </c>
      <c r="F47" s="50">
        <f t="shared" si="3"/>
        <v>9.0479813088264542</v>
      </c>
      <c r="G47" s="63">
        <f>IF((('Raw Data'!C47)/('Raw Data'!C$136)*100)&lt;0,0,('Raw Data'!C47)/('Raw Data'!C$136)*100)</f>
        <v>0</v>
      </c>
      <c r="H47" s="63">
        <f t="shared" si="4"/>
        <v>0</v>
      </c>
      <c r="I47" s="36">
        <f t="shared" si="5"/>
        <v>4.0262627933556505E-2</v>
      </c>
      <c r="J47" s="50">
        <f>'Raw Data'!F47/I47</f>
        <v>0</v>
      </c>
      <c r="K47" s="24">
        <f t="shared" si="6"/>
        <v>3.5603250423380139E-2</v>
      </c>
      <c r="L47" s="63">
        <f>A47*Table!$AC$9/$AC$16</f>
        <v>4.5490810154357577</v>
      </c>
      <c r="M47" s="63">
        <f>A47*Table!$AD$9/$AC$16</f>
        <v>1.5596849195779741</v>
      </c>
      <c r="N47" s="63">
        <f>ABS(A47*Table!$AE$9/$AC$16)</f>
        <v>1.9698098616204383</v>
      </c>
      <c r="O47" s="63">
        <f>($L47*(Table!$AC$10/Table!$AC$9)/(Table!$AC$12-Table!$AC$14))</f>
        <v>9.7577885358982375</v>
      </c>
      <c r="P47" s="63">
        <f>ROUND(($N47*(Table!$AE$10/Table!$AE$9)/(Table!$AC$12-Table!$AC$13)),2)</f>
        <v>16.170000000000002</v>
      </c>
      <c r="Q47" s="63">
        <f>'Raw Data'!C47</f>
        <v>0</v>
      </c>
      <c r="R47" s="63">
        <f>'Raw Data'!C47/'Raw Data'!I$30*100</f>
        <v>0</v>
      </c>
      <c r="S47" s="10">
        <f t="shared" si="7"/>
        <v>0</v>
      </c>
      <c r="T47" s="10">
        <f t="shared" si="8"/>
        <v>1</v>
      </c>
      <c r="U47" s="41">
        <f t="shared" si="9"/>
        <v>0</v>
      </c>
      <c r="V47" s="41">
        <f t="shared" si="10"/>
        <v>0</v>
      </c>
      <c r="W47" s="41">
        <f t="shared" si="11"/>
        <v>0</v>
      </c>
      <c r="X47" s="107">
        <f t="shared" si="12"/>
        <v>0</v>
      </c>
      <c r="AS47" s="157"/>
      <c r="AT47" s="157"/>
    </row>
    <row r="48" spans="1:46" ht="12.4" customHeight="1" x14ac:dyDescent="0.2">
      <c r="A48" s="63">
        <v>22.160892486572266</v>
      </c>
      <c r="B48" s="84">
        <v>0</v>
      </c>
      <c r="C48" s="84">
        <f t="shared" si="1"/>
        <v>1</v>
      </c>
      <c r="D48" s="62">
        <f t="shared" si="2"/>
        <v>0</v>
      </c>
      <c r="E48" s="50">
        <f>(2*Table!$AC$16*0.147)/A48</f>
        <v>4.135893232672796</v>
      </c>
      <c r="F48" s="50">
        <f t="shared" si="3"/>
        <v>8.2717864653455919</v>
      </c>
      <c r="G48" s="63">
        <f>IF((('Raw Data'!C48)/('Raw Data'!C$136)*100)&lt;0,0,('Raw Data'!C48)/('Raw Data'!C$136)*100)</f>
        <v>0</v>
      </c>
      <c r="H48" s="63">
        <f t="shared" si="4"/>
        <v>0</v>
      </c>
      <c r="I48" s="36">
        <f t="shared" si="5"/>
        <v>3.8952380097834527E-2</v>
      </c>
      <c r="J48" s="50">
        <f>'Raw Data'!F48/I48</f>
        <v>0</v>
      </c>
      <c r="K48" s="24">
        <f t="shared" si="6"/>
        <v>3.8944132046178526E-2</v>
      </c>
      <c r="L48" s="63">
        <f>A48*Table!$AC$9/$AC$16</f>
        <v>4.9759505002261148</v>
      </c>
      <c r="M48" s="63">
        <f>A48*Table!$AD$9/$AC$16</f>
        <v>1.7060401715060964</v>
      </c>
      <c r="N48" s="63">
        <f>ABS(A48*Table!$AE$9/$AC$16)</f>
        <v>2.1546497705848502</v>
      </c>
      <c r="O48" s="63">
        <f>($L48*(Table!$AC$10/Table!$AC$9)/(Table!$AC$12-Table!$AC$14))</f>
        <v>10.673424496409515</v>
      </c>
      <c r="P48" s="63">
        <f>ROUND(($N48*(Table!$AE$10/Table!$AE$9)/(Table!$AC$12-Table!$AC$13)),2)</f>
        <v>17.690000000000001</v>
      </c>
      <c r="Q48" s="63">
        <f>'Raw Data'!C48</f>
        <v>0</v>
      </c>
      <c r="R48" s="63">
        <f>'Raw Data'!C48/'Raw Data'!I$30*100</f>
        <v>0</v>
      </c>
      <c r="S48" s="10">
        <f t="shared" si="7"/>
        <v>0</v>
      </c>
      <c r="T48" s="10">
        <f t="shared" si="8"/>
        <v>1</v>
      </c>
      <c r="U48" s="41">
        <f t="shared" si="9"/>
        <v>0</v>
      </c>
      <c r="V48" s="41">
        <f t="shared" si="10"/>
        <v>0</v>
      </c>
      <c r="W48" s="41">
        <f t="shared" si="11"/>
        <v>0</v>
      </c>
      <c r="X48" s="107">
        <f t="shared" si="12"/>
        <v>0</v>
      </c>
      <c r="AS48" s="157"/>
      <c r="AT48" s="157"/>
    </row>
    <row r="49" spans="1:46" ht="12.4" customHeight="1" x14ac:dyDescent="0.2">
      <c r="A49" s="63">
        <v>24.256324768066406</v>
      </c>
      <c r="B49" s="84">
        <v>0</v>
      </c>
      <c r="C49" s="84">
        <f t="shared" si="1"/>
        <v>1</v>
      </c>
      <c r="D49" s="62">
        <f t="shared" si="2"/>
        <v>0</v>
      </c>
      <c r="E49" s="50">
        <f>(2*Table!$AC$16*0.147)/A49</f>
        <v>3.7786056272576007</v>
      </c>
      <c r="F49" s="50">
        <f t="shared" si="3"/>
        <v>7.5572112545152015</v>
      </c>
      <c r="G49" s="63">
        <f>IF((('Raw Data'!C49)/('Raw Data'!C$136)*100)&lt;0,0,('Raw Data'!C49)/('Raw Data'!C$136)*100)</f>
        <v>0</v>
      </c>
      <c r="H49" s="63">
        <f t="shared" si="4"/>
        <v>0</v>
      </c>
      <c r="I49" s="36">
        <f t="shared" si="5"/>
        <v>3.9237751993238534E-2</v>
      </c>
      <c r="J49" s="50">
        <f>'Raw Data'!F49/I49</f>
        <v>0</v>
      </c>
      <c r="K49" s="24">
        <f t="shared" si="6"/>
        <v>4.2626510430252139E-2</v>
      </c>
      <c r="L49" s="63">
        <f>A49*Table!$AC$9/$AC$16</f>
        <v>5.4464535413652975</v>
      </c>
      <c r="M49" s="63">
        <f>A49*Table!$AD$9/$AC$16</f>
        <v>1.8673554998966733</v>
      </c>
      <c r="N49" s="63">
        <f>ABS(A49*Table!$AE$9/$AC$16)</f>
        <v>2.3583835636770338</v>
      </c>
      <c r="O49" s="63">
        <f>($L49*(Table!$AC$10/Table!$AC$9)/(Table!$AC$12-Table!$AC$14))</f>
        <v>11.682654528883093</v>
      </c>
      <c r="P49" s="63">
        <f>ROUND(($N49*(Table!$AE$10/Table!$AE$9)/(Table!$AC$12-Table!$AC$13)),2)</f>
        <v>19.36</v>
      </c>
      <c r="Q49" s="63">
        <f>'Raw Data'!C49</f>
        <v>0</v>
      </c>
      <c r="R49" s="63">
        <f>'Raw Data'!C49/'Raw Data'!I$30*100</f>
        <v>0</v>
      </c>
      <c r="S49" s="10">
        <f t="shared" si="7"/>
        <v>0</v>
      </c>
      <c r="T49" s="10">
        <f t="shared" si="8"/>
        <v>1</v>
      </c>
      <c r="U49" s="41">
        <f t="shared" si="9"/>
        <v>0</v>
      </c>
      <c r="V49" s="41">
        <f t="shared" si="10"/>
        <v>0</v>
      </c>
      <c r="W49" s="41">
        <f t="shared" si="11"/>
        <v>0</v>
      </c>
      <c r="X49" s="107">
        <f t="shared" si="12"/>
        <v>0</v>
      </c>
      <c r="AS49" s="157"/>
      <c r="AT49" s="157"/>
    </row>
    <row r="50" spans="1:46" ht="12.4" customHeight="1" x14ac:dyDescent="0.2">
      <c r="A50" s="63">
        <v>26.599403381347656</v>
      </c>
      <c r="B50" s="84">
        <v>0</v>
      </c>
      <c r="C50" s="84">
        <f t="shared" si="1"/>
        <v>1</v>
      </c>
      <c r="D50" s="62">
        <f t="shared" si="2"/>
        <v>0</v>
      </c>
      <c r="E50" s="50">
        <f>(2*Table!$AC$16*0.147)/A50</f>
        <v>3.4457571830154312</v>
      </c>
      <c r="F50" s="50">
        <f t="shared" si="3"/>
        <v>6.8915143660308624</v>
      </c>
      <c r="G50" s="63">
        <f>IF((('Raw Data'!C50)/('Raw Data'!C$136)*100)&lt;0,0,('Raw Data'!C50)/('Raw Data'!C$136)*100)</f>
        <v>0</v>
      </c>
      <c r="H50" s="63">
        <f t="shared" si="4"/>
        <v>0</v>
      </c>
      <c r="I50" s="36">
        <f t="shared" si="5"/>
        <v>4.0046896850376212E-2</v>
      </c>
      <c r="J50" s="50">
        <f>'Raw Data'!F50/I50</f>
        <v>0</v>
      </c>
      <c r="K50" s="24">
        <f t="shared" si="6"/>
        <v>4.6744086604834971E-2</v>
      </c>
      <c r="L50" s="63">
        <f>A50*Table!$AC$9/$AC$16</f>
        <v>5.9725624607100576</v>
      </c>
      <c r="M50" s="63">
        <f>A50*Table!$AD$9/$AC$16</f>
        <v>2.0477357008148767</v>
      </c>
      <c r="N50" s="63">
        <f>ABS(A50*Table!$AE$9/$AC$16)</f>
        <v>2.5861954083321042</v>
      </c>
      <c r="O50" s="63">
        <f>($L50*(Table!$AC$10/Table!$AC$9)/(Table!$AC$12-Table!$AC$14))</f>
        <v>12.811159289382363</v>
      </c>
      <c r="P50" s="63">
        <f>ROUND(($N50*(Table!$AE$10/Table!$AE$9)/(Table!$AC$12-Table!$AC$13)),2)</f>
        <v>21.23</v>
      </c>
      <c r="Q50" s="63">
        <f>'Raw Data'!C50</f>
        <v>0</v>
      </c>
      <c r="R50" s="63">
        <f>'Raw Data'!C50/'Raw Data'!I$30*100</f>
        <v>0</v>
      </c>
      <c r="S50" s="10">
        <f t="shared" si="7"/>
        <v>0</v>
      </c>
      <c r="T50" s="10">
        <f t="shared" si="8"/>
        <v>1</v>
      </c>
      <c r="U50" s="41">
        <f t="shared" si="9"/>
        <v>0</v>
      </c>
      <c r="V50" s="41">
        <f t="shared" si="10"/>
        <v>0</v>
      </c>
      <c r="W50" s="41">
        <f t="shared" si="11"/>
        <v>0</v>
      </c>
      <c r="X50" s="107">
        <f t="shared" si="12"/>
        <v>0</v>
      </c>
      <c r="AS50" s="157"/>
      <c r="AT50" s="157"/>
    </row>
    <row r="51" spans="1:46" ht="12.4" customHeight="1" x14ac:dyDescent="0.2">
      <c r="A51" s="63">
        <v>28.96766471862793</v>
      </c>
      <c r="B51" s="84">
        <v>0</v>
      </c>
      <c r="C51" s="84">
        <f t="shared" si="1"/>
        <v>1</v>
      </c>
      <c r="D51" s="62">
        <f t="shared" si="2"/>
        <v>0</v>
      </c>
      <c r="E51" s="50">
        <f>(2*Table!$AC$16*0.147)/A51</f>
        <v>3.1640481259182751</v>
      </c>
      <c r="F51" s="50">
        <f t="shared" si="3"/>
        <v>6.3280962518365502</v>
      </c>
      <c r="G51" s="63">
        <f>IF((('Raw Data'!C51)/('Raw Data'!C$136)*100)&lt;0,0,('Raw Data'!C51)/('Raw Data'!C$136)*100)</f>
        <v>0</v>
      </c>
      <c r="H51" s="63">
        <f t="shared" si="4"/>
        <v>0</v>
      </c>
      <c r="I51" s="36">
        <f t="shared" si="5"/>
        <v>3.7041589556993659E-2</v>
      </c>
      <c r="J51" s="50">
        <f>'Raw Data'!F51/I51</f>
        <v>0</v>
      </c>
      <c r="K51" s="24">
        <f t="shared" si="6"/>
        <v>5.0905917284478686E-2</v>
      </c>
      <c r="L51" s="63">
        <f>A51*Table!$AC$9/$AC$16</f>
        <v>6.5043258449260275</v>
      </c>
      <c r="M51" s="63">
        <f>A51*Table!$AD$9/$AC$16</f>
        <v>2.2300545754032095</v>
      </c>
      <c r="N51" s="63">
        <f>ABS(A51*Table!$AE$9/$AC$16)</f>
        <v>2.816455708098812</v>
      </c>
      <c r="O51" s="63">
        <f>($L51*(Table!$AC$10/Table!$AC$9)/(Table!$AC$12-Table!$AC$14))</f>
        <v>13.95179288915922</v>
      </c>
      <c r="P51" s="63">
        <f>ROUND(($N51*(Table!$AE$10/Table!$AE$9)/(Table!$AC$12-Table!$AC$13)),2)</f>
        <v>23.12</v>
      </c>
      <c r="Q51" s="63">
        <f>'Raw Data'!C51</f>
        <v>0</v>
      </c>
      <c r="R51" s="63">
        <f>'Raw Data'!C51/'Raw Data'!I$30*100</f>
        <v>0</v>
      </c>
      <c r="S51" s="10">
        <f t="shared" si="7"/>
        <v>0</v>
      </c>
      <c r="T51" s="10">
        <f t="shared" si="8"/>
        <v>1</v>
      </c>
      <c r="U51" s="41">
        <f t="shared" si="9"/>
        <v>0</v>
      </c>
      <c r="V51" s="41">
        <f t="shared" si="10"/>
        <v>0</v>
      </c>
      <c r="W51" s="41">
        <f t="shared" si="11"/>
        <v>0</v>
      </c>
      <c r="X51" s="107">
        <f t="shared" si="12"/>
        <v>0</v>
      </c>
      <c r="AS51" s="157"/>
      <c r="AT51" s="157"/>
    </row>
    <row r="52" spans="1:46" ht="12.4" customHeight="1" x14ac:dyDescent="0.2">
      <c r="A52" s="63">
        <v>29.789762496948242</v>
      </c>
      <c r="B52" s="84">
        <v>0</v>
      </c>
      <c r="C52" s="84">
        <f t="shared" si="1"/>
        <v>1</v>
      </c>
      <c r="D52" s="62">
        <f t="shared" si="2"/>
        <v>0</v>
      </c>
      <c r="E52" s="50">
        <f>(2*Table!$AC$16*0.147)/A52</f>
        <v>3.07673098349116</v>
      </c>
      <c r="F52" s="50">
        <f t="shared" si="3"/>
        <v>6.1534619669823201</v>
      </c>
      <c r="G52" s="63">
        <f>IF((('Raw Data'!C52)/('Raw Data'!C$136)*100)&lt;0,0,('Raw Data'!C52)/('Raw Data'!C$136)*100)</f>
        <v>0</v>
      </c>
      <c r="H52" s="63">
        <f t="shared" si="4"/>
        <v>0</v>
      </c>
      <c r="I52" s="36">
        <f t="shared" si="5"/>
        <v>1.2153555585816822E-2</v>
      </c>
      <c r="J52" s="50">
        <f>'Raw Data'!F52/I52</f>
        <v>0</v>
      </c>
      <c r="K52" s="24">
        <f t="shared" si="6"/>
        <v>5.2350619227470169E-2</v>
      </c>
      <c r="L52" s="63">
        <f>A52*Table!$AC$9/$AC$16</f>
        <v>6.6889175915691919</v>
      </c>
      <c r="M52" s="63">
        <f>A52*Table!$AD$9/$AC$16</f>
        <v>2.2933431742522941</v>
      </c>
      <c r="N52" s="63">
        <f>ABS(A52*Table!$AE$9/$AC$16)</f>
        <v>2.8963862790597723</v>
      </c>
      <c r="O52" s="63">
        <f>($L52*(Table!$AC$10/Table!$AC$9)/(Table!$AC$12-Table!$AC$14))</f>
        <v>14.347742581658499</v>
      </c>
      <c r="P52" s="63">
        <f>ROUND(($N52*(Table!$AE$10/Table!$AE$9)/(Table!$AC$12-Table!$AC$13)),2)</f>
        <v>23.78</v>
      </c>
      <c r="Q52" s="63">
        <f>'Raw Data'!C52</f>
        <v>0</v>
      </c>
      <c r="R52" s="63">
        <f>'Raw Data'!C52/'Raw Data'!I$30*100</f>
        <v>0</v>
      </c>
      <c r="S52" s="10">
        <f t="shared" si="7"/>
        <v>0</v>
      </c>
      <c r="T52" s="10">
        <f t="shared" si="8"/>
        <v>1</v>
      </c>
      <c r="U52" s="41">
        <f t="shared" si="9"/>
        <v>0</v>
      </c>
      <c r="V52" s="41">
        <f t="shared" si="10"/>
        <v>0</v>
      </c>
      <c r="W52" s="41">
        <f t="shared" si="11"/>
        <v>0</v>
      </c>
      <c r="X52" s="107">
        <f t="shared" si="12"/>
        <v>0</v>
      </c>
      <c r="AS52" s="157"/>
      <c r="AT52" s="157"/>
    </row>
    <row r="53" spans="1:46" ht="12.4" customHeight="1" x14ac:dyDescent="0.2">
      <c r="A53" s="63">
        <v>32.547290802001953</v>
      </c>
      <c r="B53" s="84">
        <v>0</v>
      </c>
      <c r="C53" s="84">
        <f t="shared" si="1"/>
        <v>1</v>
      </c>
      <c r="D53" s="62">
        <f t="shared" si="2"/>
        <v>0</v>
      </c>
      <c r="E53" s="50">
        <f>(2*Table!$AC$16*0.147)/A53</f>
        <v>2.8160588180066286</v>
      </c>
      <c r="F53" s="50">
        <f t="shared" si="3"/>
        <v>5.6321176360132572</v>
      </c>
      <c r="G53" s="63">
        <f>IF((('Raw Data'!C53)/('Raw Data'!C$136)*100)&lt;0,0,('Raw Data'!C53)/('Raw Data'!C$136)*100)</f>
        <v>0</v>
      </c>
      <c r="H53" s="63">
        <f t="shared" si="4"/>
        <v>0</v>
      </c>
      <c r="I53" s="36">
        <f t="shared" si="5"/>
        <v>3.8447803494277899E-2</v>
      </c>
      <c r="J53" s="50">
        <f>'Raw Data'!F53/I53</f>
        <v>0</v>
      </c>
      <c r="K53" s="24">
        <f t="shared" si="6"/>
        <v>5.719652272608404E-2</v>
      </c>
      <c r="L53" s="63">
        <f>A53*Table!$AC$9/$AC$16</f>
        <v>7.3080859918145205</v>
      </c>
      <c r="M53" s="63">
        <f>A53*Table!$AD$9/$AC$16</f>
        <v>2.5056294829078358</v>
      </c>
      <c r="N53" s="63">
        <f>ABS(A53*Table!$AE$9/$AC$16)</f>
        <v>3.1644940609762853</v>
      </c>
      <c r="O53" s="63">
        <f>($L53*(Table!$AC$10/Table!$AC$9)/(Table!$AC$12-Table!$AC$14))</f>
        <v>15.675860128302276</v>
      </c>
      <c r="P53" s="63">
        <f>ROUND(($N53*(Table!$AE$10/Table!$AE$9)/(Table!$AC$12-Table!$AC$13)),2)</f>
        <v>25.98</v>
      </c>
      <c r="Q53" s="63">
        <f>'Raw Data'!C53</f>
        <v>0</v>
      </c>
      <c r="R53" s="63">
        <f>'Raw Data'!C53/'Raw Data'!I$30*100</f>
        <v>0</v>
      </c>
      <c r="S53" s="10">
        <f t="shared" si="7"/>
        <v>0</v>
      </c>
      <c r="T53" s="10">
        <f t="shared" si="8"/>
        <v>1</v>
      </c>
      <c r="U53" s="41">
        <f t="shared" si="9"/>
        <v>0</v>
      </c>
      <c r="V53" s="41">
        <f t="shared" si="10"/>
        <v>0</v>
      </c>
      <c r="W53" s="41">
        <f t="shared" si="11"/>
        <v>0</v>
      </c>
      <c r="X53" s="107">
        <f t="shared" si="12"/>
        <v>0</v>
      </c>
      <c r="Z53" s="84"/>
      <c r="AS53" s="157"/>
      <c r="AT53" s="157"/>
    </row>
    <row r="54" spans="1:46" ht="12.4" customHeight="1" x14ac:dyDescent="0.2">
      <c r="A54" s="63">
        <v>36.365528106689453</v>
      </c>
      <c r="B54" s="84">
        <v>0</v>
      </c>
      <c r="C54" s="84">
        <f t="shared" si="1"/>
        <v>1</v>
      </c>
      <c r="D54" s="62">
        <f t="shared" si="2"/>
        <v>0</v>
      </c>
      <c r="E54" s="50">
        <f>(2*Table!$AC$16*0.147)/A54</f>
        <v>2.5203837270369145</v>
      </c>
      <c r="F54" s="50">
        <f t="shared" si="3"/>
        <v>5.040767454073829</v>
      </c>
      <c r="G54" s="63">
        <f>IF((('Raw Data'!C54)/('Raw Data'!C$136)*100)&lt;0,0,('Raw Data'!C54)/('Raw Data'!C$136)*100)</f>
        <v>0</v>
      </c>
      <c r="H54" s="63">
        <f t="shared" si="4"/>
        <v>0</v>
      </c>
      <c r="I54" s="36">
        <f t="shared" si="5"/>
        <v>4.8175054605654466E-2</v>
      </c>
      <c r="J54" s="50">
        <f>'Raw Data'!F54/I54</f>
        <v>0</v>
      </c>
      <c r="K54" s="24">
        <f t="shared" si="6"/>
        <v>6.3906448234160668E-2</v>
      </c>
      <c r="L54" s="63">
        <f>A54*Table!$AC$9/$AC$16</f>
        <v>8.1654232961561153</v>
      </c>
      <c r="M54" s="63">
        <f>A54*Table!$AD$9/$AC$16</f>
        <v>2.7995737015392397</v>
      </c>
      <c r="N54" s="63">
        <f>ABS(A54*Table!$AE$9/$AC$16)</f>
        <v>3.5357320035622313</v>
      </c>
      <c r="O54" s="63">
        <f>($L54*(Table!$AC$10/Table!$AC$9)/(Table!$AC$12-Table!$AC$14))</f>
        <v>17.514850485105352</v>
      </c>
      <c r="P54" s="63">
        <f>ROUND(($N54*(Table!$AE$10/Table!$AE$9)/(Table!$AC$12-Table!$AC$13)),2)</f>
        <v>29.03</v>
      </c>
      <c r="Q54" s="63">
        <f>'Raw Data'!C54</f>
        <v>0</v>
      </c>
      <c r="R54" s="63">
        <f>'Raw Data'!C54/'Raw Data'!I$30*100</f>
        <v>0</v>
      </c>
      <c r="S54" s="10">
        <f t="shared" si="7"/>
        <v>0</v>
      </c>
      <c r="T54" s="10">
        <f t="shared" si="8"/>
        <v>1</v>
      </c>
      <c r="U54" s="41">
        <f t="shared" si="9"/>
        <v>0</v>
      </c>
      <c r="V54" s="41">
        <f t="shared" si="10"/>
        <v>0</v>
      </c>
      <c r="W54" s="41">
        <f t="shared" si="11"/>
        <v>0</v>
      </c>
      <c r="X54" s="107">
        <f t="shared" si="12"/>
        <v>0</v>
      </c>
      <c r="Z54" s="84"/>
      <c r="AS54" s="157"/>
      <c r="AT54" s="157"/>
    </row>
    <row r="55" spans="1:46" ht="12.4" customHeight="1" x14ac:dyDescent="0.2">
      <c r="A55" s="63">
        <v>40.300357818603516</v>
      </c>
      <c r="B55" s="84">
        <v>0</v>
      </c>
      <c r="C55" s="84">
        <f t="shared" si="1"/>
        <v>1</v>
      </c>
      <c r="D55" s="62">
        <f t="shared" si="2"/>
        <v>0</v>
      </c>
      <c r="E55" s="50">
        <f>(2*Table!$AC$16*0.147)/A55</f>
        <v>2.2742995404098787</v>
      </c>
      <c r="F55" s="50">
        <f t="shared" si="3"/>
        <v>4.5485990808197574</v>
      </c>
      <c r="G55" s="63">
        <f>IF((('Raw Data'!C55)/('Raw Data'!C$136)*100)&lt;0,0,('Raw Data'!C55)/('Raw Data'!C$136)*100)</f>
        <v>0</v>
      </c>
      <c r="H55" s="63">
        <f t="shared" si="4"/>
        <v>0</v>
      </c>
      <c r="I55" s="36">
        <f t="shared" si="5"/>
        <v>4.4619003314548433E-2</v>
      </c>
      <c r="J55" s="50">
        <f>'Raw Data'!F55/I55</f>
        <v>0</v>
      </c>
      <c r="K55" s="24">
        <f t="shared" si="6"/>
        <v>7.0821265765668384E-2</v>
      </c>
      <c r="L55" s="63">
        <f>A55*Table!$AC$9/$AC$16</f>
        <v>9.0489399634188175</v>
      </c>
      <c r="M55" s="63">
        <f>A55*Table!$AD$9/$AC$16</f>
        <v>3.1024937017435943</v>
      </c>
      <c r="N55" s="63">
        <f>ABS(A55*Table!$AE$9/$AC$16)</f>
        <v>3.9183059428204627</v>
      </c>
      <c r="O55" s="63">
        <f>($L55*(Table!$AC$10/Table!$AC$9)/(Table!$AC$12-Table!$AC$14))</f>
        <v>19.409995631528997</v>
      </c>
      <c r="P55" s="63">
        <f>ROUND(($N55*(Table!$AE$10/Table!$AE$9)/(Table!$AC$12-Table!$AC$13)),2)</f>
        <v>32.17</v>
      </c>
      <c r="Q55" s="63">
        <f>'Raw Data'!C55</f>
        <v>0</v>
      </c>
      <c r="R55" s="63">
        <f>'Raw Data'!C55/'Raw Data'!I$30*100</f>
        <v>0</v>
      </c>
      <c r="S55" s="10">
        <f t="shared" si="7"/>
        <v>0</v>
      </c>
      <c r="T55" s="10">
        <f t="shared" si="8"/>
        <v>1</v>
      </c>
      <c r="U55" s="41">
        <f t="shared" si="9"/>
        <v>0</v>
      </c>
      <c r="V55" s="41">
        <f t="shared" si="10"/>
        <v>0</v>
      </c>
      <c r="W55" s="41">
        <f t="shared" si="11"/>
        <v>0</v>
      </c>
      <c r="X55" s="107">
        <f t="shared" si="12"/>
        <v>0</v>
      </c>
      <c r="Z55" s="84"/>
      <c r="AS55" s="157"/>
      <c r="AT55" s="157"/>
    </row>
    <row r="56" spans="1:46" ht="12.4" customHeight="1" x14ac:dyDescent="0.2">
      <c r="A56" s="63">
        <v>44.236320495605469</v>
      </c>
      <c r="B56" s="84">
        <v>0</v>
      </c>
      <c r="C56" s="84">
        <f t="shared" si="1"/>
        <v>1</v>
      </c>
      <c r="D56" s="62">
        <f t="shared" si="2"/>
        <v>0</v>
      </c>
      <c r="E56" s="50">
        <f>(2*Table!$AC$16*0.147)/A56</f>
        <v>2.0719418848208422</v>
      </c>
      <c r="F56" s="50">
        <f t="shared" si="3"/>
        <v>4.1438837696416844</v>
      </c>
      <c r="G56" s="63">
        <f>IF((('Raw Data'!C56)/('Raw Data'!C$136)*100)&lt;0,0,('Raw Data'!C56)/('Raw Data'!C$136)*100)</f>
        <v>0</v>
      </c>
      <c r="H56" s="63">
        <f t="shared" si="4"/>
        <v>0</v>
      </c>
      <c r="I56" s="36">
        <f t="shared" si="5"/>
        <v>4.0470093728318224E-2</v>
      </c>
      <c r="J56" s="50">
        <f>'Raw Data'!F56/I56</f>
        <v>0</v>
      </c>
      <c r="K56" s="24">
        <f t="shared" si="6"/>
        <v>7.7738074297403814E-2</v>
      </c>
      <c r="L56" s="63">
        <f>A56*Table!$AC$9/$AC$16</f>
        <v>9.9327110237841083</v>
      </c>
      <c r="M56" s="63">
        <f>A56*Table!$AD$9/$AC$16</f>
        <v>3.4055009224402655</v>
      </c>
      <c r="N56" s="63">
        <f>ABS(A56*Table!$AE$9/$AC$16)</f>
        <v>4.3009900375233885</v>
      </c>
      <c r="O56" s="63">
        <f>($L56*(Table!$AC$10/Table!$AC$9)/(Table!$AC$12-Table!$AC$14))</f>
        <v>21.305686451703366</v>
      </c>
      <c r="P56" s="63">
        <f>ROUND(($N56*(Table!$AE$10/Table!$AE$9)/(Table!$AC$12-Table!$AC$13)),2)</f>
        <v>35.31</v>
      </c>
      <c r="Q56" s="63">
        <f>'Raw Data'!C56</f>
        <v>0</v>
      </c>
      <c r="R56" s="63">
        <f>'Raw Data'!C56/'Raw Data'!I$30*100</f>
        <v>0</v>
      </c>
      <c r="S56" s="10">
        <f t="shared" si="7"/>
        <v>0</v>
      </c>
      <c r="T56" s="10">
        <f t="shared" si="8"/>
        <v>1</v>
      </c>
      <c r="U56" s="41">
        <f t="shared" si="9"/>
        <v>0</v>
      </c>
      <c r="V56" s="41">
        <f t="shared" si="10"/>
        <v>0</v>
      </c>
      <c r="W56" s="41">
        <f t="shared" si="11"/>
        <v>0</v>
      </c>
      <c r="X56" s="107">
        <f t="shared" si="12"/>
        <v>0</v>
      </c>
      <c r="Z56" s="84"/>
      <c r="AS56" s="157"/>
      <c r="AT56" s="157"/>
    </row>
    <row r="57" spans="1:46" ht="12.4" customHeight="1" x14ac:dyDescent="0.2">
      <c r="A57" s="63">
        <v>49.353641510009766</v>
      </c>
      <c r="B57" s="84">
        <v>0</v>
      </c>
      <c r="C57" s="84">
        <f t="shared" si="1"/>
        <v>1</v>
      </c>
      <c r="D57" s="62">
        <f t="shared" si="2"/>
        <v>0</v>
      </c>
      <c r="E57" s="50">
        <f>(2*Table!$AC$16*0.147)/A57</f>
        <v>1.8571088669640399</v>
      </c>
      <c r="F57" s="50">
        <f t="shared" si="3"/>
        <v>3.7142177339280797</v>
      </c>
      <c r="G57" s="63">
        <f>IF((('Raw Data'!C57)/('Raw Data'!C$136)*100)&lt;0,0,('Raw Data'!C57)/('Raw Data'!C$136)*100)</f>
        <v>0</v>
      </c>
      <c r="H57" s="63">
        <f t="shared" si="4"/>
        <v>0</v>
      </c>
      <c r="I57" s="36">
        <f t="shared" si="5"/>
        <v>4.7540206281978303E-2</v>
      </c>
      <c r="J57" s="50">
        <f>'Raw Data'!F57/I57</f>
        <v>0</v>
      </c>
      <c r="K57" s="24">
        <f t="shared" si="6"/>
        <v>8.6730926251737284E-2</v>
      </c>
      <c r="L57" s="63">
        <f>A57*Table!$AC$9/$AC$16</f>
        <v>11.081741284044227</v>
      </c>
      <c r="M57" s="63">
        <f>A57*Table!$AD$9/$AC$16</f>
        <v>3.7994541545294496</v>
      </c>
      <c r="N57" s="63">
        <f>ABS(A57*Table!$AE$9/$AC$16)</f>
        <v>4.7985347350745435</v>
      </c>
      <c r="O57" s="63">
        <f>($L57*(Table!$AC$10/Table!$AC$9)/(Table!$AC$12-Table!$AC$14))</f>
        <v>23.770358824633696</v>
      </c>
      <c r="P57" s="63">
        <f>ROUND(($N57*(Table!$AE$10/Table!$AE$9)/(Table!$AC$12-Table!$AC$13)),2)</f>
        <v>39.4</v>
      </c>
      <c r="Q57" s="63">
        <f>'Raw Data'!C57</f>
        <v>0</v>
      </c>
      <c r="R57" s="63">
        <f>'Raw Data'!C57/'Raw Data'!I$30*100</f>
        <v>0</v>
      </c>
      <c r="S57" s="10">
        <f t="shared" si="7"/>
        <v>0</v>
      </c>
      <c r="T57" s="10">
        <f t="shared" si="8"/>
        <v>1</v>
      </c>
      <c r="U57" s="41">
        <f t="shared" si="9"/>
        <v>0</v>
      </c>
      <c r="V57" s="41">
        <f t="shared" si="10"/>
        <v>0</v>
      </c>
      <c r="W57" s="41">
        <f t="shared" si="11"/>
        <v>0</v>
      </c>
      <c r="X57" s="107">
        <f t="shared" si="12"/>
        <v>0</v>
      </c>
      <c r="Z57" s="84"/>
      <c r="AS57" s="157"/>
      <c r="AT57" s="157"/>
    </row>
    <row r="58" spans="1:46" ht="12.4" customHeight="1" x14ac:dyDescent="0.2">
      <c r="A58" s="63">
        <v>52.029392242431641</v>
      </c>
      <c r="B58" s="84">
        <v>0</v>
      </c>
      <c r="C58" s="84">
        <f t="shared" si="1"/>
        <v>1</v>
      </c>
      <c r="D58" s="62">
        <f t="shared" si="2"/>
        <v>0</v>
      </c>
      <c r="E58" s="50">
        <f>(2*Table!$AC$16*0.147)/A58</f>
        <v>1.7616020736535909</v>
      </c>
      <c r="F58" s="50">
        <f t="shared" si="3"/>
        <v>3.5232041473071818</v>
      </c>
      <c r="G58" s="63">
        <f>IF((('Raw Data'!C58)/('Raw Data'!C$136)*100)&lt;0,0,('Raw Data'!C58)/('Raw Data'!C$136)*100)</f>
        <v>0</v>
      </c>
      <c r="H58" s="63">
        <f t="shared" si="4"/>
        <v>0</v>
      </c>
      <c r="I58" s="36">
        <f t="shared" si="5"/>
        <v>2.2929550733075288E-2</v>
      </c>
      <c r="J58" s="50">
        <f>'Raw Data'!F58/I58</f>
        <v>0</v>
      </c>
      <c r="K58" s="24">
        <f t="shared" si="6"/>
        <v>9.1433119085768497E-2</v>
      </c>
      <c r="L58" s="63">
        <f>A58*Table!$AC$9/$AC$16</f>
        <v>11.682547555882895</v>
      </c>
      <c r="M58" s="63">
        <f>A58*Table!$AD$9/$AC$16</f>
        <v>4.0054448763027066</v>
      </c>
      <c r="N58" s="63">
        <f>ABS(A58*Table!$AE$9/$AC$16)</f>
        <v>5.0586914821571956</v>
      </c>
      <c r="O58" s="63">
        <f>($L58*(Table!$AC$10/Table!$AC$9)/(Table!$AC$12-Table!$AC$14))</f>
        <v>25.059089566458379</v>
      </c>
      <c r="P58" s="63">
        <f>ROUND(($N58*(Table!$AE$10/Table!$AE$9)/(Table!$AC$12-Table!$AC$13)),2)</f>
        <v>41.53</v>
      </c>
      <c r="Q58" s="63">
        <f>'Raw Data'!C58</f>
        <v>0</v>
      </c>
      <c r="R58" s="63">
        <f>'Raw Data'!C58/'Raw Data'!I$30*100</f>
        <v>0</v>
      </c>
      <c r="S58" s="10">
        <f t="shared" si="7"/>
        <v>0</v>
      </c>
      <c r="T58" s="10">
        <f t="shared" si="8"/>
        <v>1</v>
      </c>
      <c r="U58" s="41">
        <f t="shared" si="9"/>
        <v>0</v>
      </c>
      <c r="V58" s="41">
        <f t="shared" si="10"/>
        <v>0</v>
      </c>
      <c r="W58" s="41">
        <f t="shared" si="11"/>
        <v>0</v>
      </c>
      <c r="X58" s="107">
        <f t="shared" si="12"/>
        <v>0</v>
      </c>
      <c r="Z58" s="84"/>
      <c r="AS58" s="157"/>
      <c r="AT58" s="157"/>
    </row>
    <row r="59" spans="1:46" ht="12.4" customHeight="1" x14ac:dyDescent="0.2">
      <c r="A59" s="63">
        <v>58.829620361328125</v>
      </c>
      <c r="B59" s="84">
        <v>1.1361215650074557E-3</v>
      </c>
      <c r="C59" s="84">
        <f t="shared" si="1"/>
        <v>0.99886387843499258</v>
      </c>
      <c r="D59" s="62">
        <f t="shared" si="2"/>
        <v>1.1361215650074557E-3</v>
      </c>
      <c r="E59" s="50">
        <f>(2*Table!$AC$16*0.147)/A59</f>
        <v>1.5579751271938083</v>
      </c>
      <c r="F59" s="50">
        <f t="shared" si="3"/>
        <v>3.1159502543876165</v>
      </c>
      <c r="G59" s="63">
        <f>IF((('Raw Data'!C59)/('Raw Data'!C$136)*100)&lt;0,0,('Raw Data'!C59)/('Raw Data'!C$136)*100)</f>
        <v>0.11361215650074537</v>
      </c>
      <c r="H59" s="63">
        <f t="shared" si="4"/>
        <v>0.11361215650074537</v>
      </c>
      <c r="I59" s="36">
        <f t="shared" si="5"/>
        <v>5.3347292898875687E-2</v>
      </c>
      <c r="J59" s="50">
        <f>'Raw Data'!F59/I59</f>
        <v>2.1296705104813254E-2</v>
      </c>
      <c r="K59" s="24">
        <f t="shared" si="6"/>
        <v>0.10338340411904982</v>
      </c>
      <c r="L59" s="63">
        <f>A59*Table!$AC$9/$AC$16</f>
        <v>13.209453502039059</v>
      </c>
      <c r="M59" s="63">
        <f>A59*Table!$AD$9/$AC$16</f>
        <v>4.5289554864133921</v>
      </c>
      <c r="N59" s="63">
        <f>ABS(A59*Table!$AE$9/$AC$16)</f>
        <v>5.7198611514375717</v>
      </c>
      <c r="O59" s="63">
        <f>($L59*(Table!$AC$10/Table!$AC$9)/(Table!$AC$12-Table!$AC$14))</f>
        <v>28.334306096179883</v>
      </c>
      <c r="P59" s="63">
        <f>ROUND(($N59*(Table!$AE$10/Table!$AE$9)/(Table!$AC$12-Table!$AC$13)),2)</f>
        <v>46.96</v>
      </c>
      <c r="Q59" s="63">
        <f>'Raw Data'!C59</f>
        <v>1.5999999999999973E-3</v>
      </c>
      <c r="R59" s="63">
        <f>'Raw Data'!C59/'Raw Data'!I$30*100</f>
        <v>1.4573077689521388E-2</v>
      </c>
      <c r="S59" s="10">
        <f t="shared" si="7"/>
        <v>1.5533980582524275E-2</v>
      </c>
      <c r="T59" s="10">
        <f t="shared" si="8"/>
        <v>0.98606141280286219</v>
      </c>
      <c r="U59" s="41">
        <f t="shared" si="9"/>
        <v>2.4771667061616897E-4</v>
      </c>
      <c r="V59" s="41">
        <f t="shared" si="10"/>
        <v>3.1853062734360391E-4</v>
      </c>
      <c r="W59" s="41">
        <f t="shared" si="11"/>
        <v>4.7131776639894431E-3</v>
      </c>
      <c r="X59" s="107">
        <f t="shared" si="12"/>
        <v>4.7131776639894431E-3</v>
      </c>
      <c r="Z59" s="84"/>
      <c r="AS59" s="157"/>
      <c r="AT59" s="157"/>
    </row>
    <row r="60" spans="1:46" ht="12.4" customHeight="1" x14ac:dyDescent="0.2">
      <c r="A60" s="63">
        <v>63.844455718994141</v>
      </c>
      <c r="B60" s="84">
        <v>2.6272811190797413E-3</v>
      </c>
      <c r="C60" s="84">
        <f t="shared" si="1"/>
        <v>0.99737271888092027</v>
      </c>
      <c r="D60" s="62">
        <f t="shared" si="2"/>
        <v>1.4911595540722856E-3</v>
      </c>
      <c r="E60" s="50">
        <f>(2*Table!$AC$16*0.147)/A60</f>
        <v>1.4355997593372176</v>
      </c>
      <c r="F60" s="50">
        <f t="shared" si="3"/>
        <v>2.8711995186744352</v>
      </c>
      <c r="G60" s="63">
        <f>IF((('Raw Data'!C60)/('Raw Data'!C$136)*100)&lt;0,0,('Raw Data'!C60)/('Raw Data'!C$136)*100)</f>
        <v>0.26272811190797424</v>
      </c>
      <c r="H60" s="63">
        <f t="shared" si="4"/>
        <v>0.14911595540722888</v>
      </c>
      <c r="I60" s="36">
        <f t="shared" si="5"/>
        <v>3.5527143098402381E-2</v>
      </c>
      <c r="J60" s="50">
        <f>'Raw Data'!F60/I60</f>
        <v>4.1972402620219264E-2</v>
      </c>
      <c r="K60" s="24">
        <f t="shared" si="6"/>
        <v>0.11219615434908344</v>
      </c>
      <c r="L60" s="63">
        <f>A60*Table!$AC$9/$AC$16</f>
        <v>14.335471893295173</v>
      </c>
      <c r="M60" s="63">
        <f>A60*Table!$AD$9/$AC$16</f>
        <v>4.9150189348440598</v>
      </c>
      <c r="N60" s="63">
        <f>ABS(A60*Table!$AE$9/$AC$16)</f>
        <v>6.207441417415712</v>
      </c>
      <c r="O60" s="63">
        <f>($L60*(Table!$AC$10/Table!$AC$9)/(Table!$AC$12-Table!$AC$14))</f>
        <v>30.749617960736114</v>
      </c>
      <c r="P60" s="63">
        <f>ROUND(($N60*(Table!$AE$10/Table!$AE$9)/(Table!$AC$12-Table!$AC$13)),2)</f>
        <v>50.96</v>
      </c>
      <c r="Q60" s="63">
        <f>'Raw Data'!C60</f>
        <v>3.7000000000000019E-3</v>
      </c>
      <c r="R60" s="63">
        <f>'Raw Data'!C60/'Raw Data'!I$30*100</f>
        <v>3.3700242157018286E-2</v>
      </c>
      <c r="S60" s="10">
        <f t="shared" si="7"/>
        <v>2.0388349514563111E-2</v>
      </c>
      <c r="T60" s="10">
        <f t="shared" si="8"/>
        <v>0.97052811093717284</v>
      </c>
      <c r="U60" s="41">
        <f t="shared" si="9"/>
        <v>5.2784915741700407E-4</v>
      </c>
      <c r="V60" s="41">
        <f t="shared" si="10"/>
        <v>1.1448195116731247E-3</v>
      </c>
      <c r="W60" s="41">
        <f t="shared" si="11"/>
        <v>5.2524126273289593E-3</v>
      </c>
      <c r="X60" s="107">
        <f t="shared" si="12"/>
        <v>9.9655902913184033E-3</v>
      </c>
      <c r="Z60" s="84"/>
      <c r="AS60" s="157"/>
      <c r="AT60" s="157"/>
    </row>
    <row r="61" spans="1:46" ht="12.4" customHeight="1" x14ac:dyDescent="0.2">
      <c r="A61" s="63">
        <v>70.829780578613281</v>
      </c>
      <c r="B61" s="84">
        <v>4.9705318469076189E-3</v>
      </c>
      <c r="C61" s="84">
        <f t="shared" si="1"/>
        <v>0.99502946815309234</v>
      </c>
      <c r="D61" s="62">
        <f t="shared" si="2"/>
        <v>2.3432507278278777E-3</v>
      </c>
      <c r="E61" s="50">
        <f>(2*Table!$AC$16*0.147)/A61</f>
        <v>1.2940190484350937</v>
      </c>
      <c r="F61" s="50">
        <f t="shared" si="3"/>
        <v>2.5880380968701875</v>
      </c>
      <c r="G61" s="63">
        <f>IF((('Raw Data'!C61)/('Raw Data'!C$136)*100)&lt;0,0,('Raw Data'!C61)/('Raw Data'!C$136)*100)</f>
        <v>0.49705318469076232</v>
      </c>
      <c r="H61" s="63">
        <f t="shared" si="4"/>
        <v>0.23432507278278808</v>
      </c>
      <c r="I61" s="36">
        <f t="shared" si="5"/>
        <v>4.509270750260605E-2</v>
      </c>
      <c r="J61" s="50">
        <f>'Raw Data'!F61/I61</f>
        <v>5.1965181458497628E-2</v>
      </c>
      <c r="K61" s="24">
        <f t="shared" si="6"/>
        <v>0.12447171653067401</v>
      </c>
      <c r="L61" s="63">
        <f>A61*Table!$AC$9/$AC$16</f>
        <v>15.903938991383608</v>
      </c>
      <c r="M61" s="63">
        <f>A61*Table!$AD$9/$AC$16</f>
        <v>5.4527790827600944</v>
      </c>
      <c r="N61" s="63">
        <f>ABS(A61*Table!$AE$9/$AC$16)</f>
        <v>6.8866075933880335</v>
      </c>
      <c r="O61" s="63">
        <f>($L61*(Table!$AC$10/Table!$AC$9)/(Table!$AC$12-Table!$AC$14))</f>
        <v>34.113983250501093</v>
      </c>
      <c r="P61" s="63">
        <f>ROUND(($N61*(Table!$AE$10/Table!$AE$9)/(Table!$AC$12-Table!$AC$13)),2)</f>
        <v>56.54</v>
      </c>
      <c r="Q61" s="63">
        <f>'Raw Data'!C61</f>
        <v>7.0000000000000062E-3</v>
      </c>
      <c r="R61" s="63">
        <f>'Raw Data'!C61/'Raw Data'!I$30*100</f>
        <v>6.3757214891656241E-2</v>
      </c>
      <c r="S61" s="10">
        <f t="shared" si="7"/>
        <v>3.2038834951456319E-2</v>
      </c>
      <c r="T61" s="10">
        <f t="shared" si="8"/>
        <v>0.95069581417959148</v>
      </c>
      <c r="U61" s="41">
        <f t="shared" si="9"/>
        <v>9.0014700555076169E-4</v>
      </c>
      <c r="V61" s="41">
        <f t="shared" si="10"/>
        <v>2.8230393032231721E-3</v>
      </c>
      <c r="W61" s="41">
        <f t="shared" si="11"/>
        <v>6.706069760257837E-3</v>
      </c>
      <c r="X61" s="107">
        <f t="shared" si="12"/>
        <v>1.6671660051576241E-2</v>
      </c>
      <c r="Z61" s="84"/>
      <c r="AS61" s="157"/>
      <c r="AT61" s="157"/>
    </row>
    <row r="62" spans="1:46" ht="12.4" customHeight="1" x14ac:dyDescent="0.2">
      <c r="A62" s="63">
        <v>75.756050109863281</v>
      </c>
      <c r="B62" s="84">
        <v>8.0948661506781219E-3</v>
      </c>
      <c r="C62" s="84">
        <f t="shared" si="1"/>
        <v>0.99190513384932189</v>
      </c>
      <c r="D62" s="62">
        <f t="shared" si="2"/>
        <v>3.124334303770503E-3</v>
      </c>
      <c r="E62" s="50">
        <f>(2*Table!$AC$16*0.147)/A62</f>
        <v>1.209871490557958</v>
      </c>
      <c r="F62" s="50">
        <f t="shared" si="3"/>
        <v>2.4197429811159159</v>
      </c>
      <c r="G62" s="63">
        <f>IF((('Raw Data'!C62)/('Raw Data'!C$136)*100)&lt;0,0,('Raw Data'!C62)/('Raw Data'!C$136)*100)</f>
        <v>0.80948661506781172</v>
      </c>
      <c r="H62" s="63">
        <f t="shared" si="4"/>
        <v>0.3124334303770494</v>
      </c>
      <c r="I62" s="36">
        <f t="shared" si="5"/>
        <v>2.9201426231999561E-2</v>
      </c>
      <c r="J62" s="50">
        <f>'Raw Data'!F62/I62</f>
        <v>0.10699252423317529</v>
      </c>
      <c r="K62" s="24">
        <f t="shared" si="6"/>
        <v>0.13312882685402003</v>
      </c>
      <c r="L62" s="63">
        <f>A62*Table!$AC$9/$AC$16</f>
        <v>17.010071036973603</v>
      </c>
      <c r="M62" s="63">
        <f>A62*Table!$AD$9/$AC$16</f>
        <v>5.8320243555338065</v>
      </c>
      <c r="N62" s="63">
        <f>ABS(A62*Table!$AE$9/$AC$16)</f>
        <v>7.3655768190985249</v>
      </c>
      <c r="O62" s="63">
        <f>($L62*(Table!$AC$10/Table!$AC$9)/(Table!$AC$12-Table!$AC$14))</f>
        <v>36.486638860947245</v>
      </c>
      <c r="P62" s="63">
        <f>ROUND(($N62*(Table!$AE$10/Table!$AE$9)/(Table!$AC$12-Table!$AC$13)),2)</f>
        <v>60.47</v>
      </c>
      <c r="Q62" s="63">
        <f>'Raw Data'!C62</f>
        <v>1.1399999999999993E-2</v>
      </c>
      <c r="R62" s="63">
        <f>'Raw Data'!C62/'Raw Data'!I$30*100</f>
        <v>0.10383317853784001</v>
      </c>
      <c r="S62" s="10">
        <f t="shared" si="7"/>
        <v>4.2718446601941754E-2</v>
      </c>
      <c r="T62" s="10">
        <f t="shared" si="8"/>
        <v>0.92758001587232253</v>
      </c>
      <c r="U62" s="41">
        <f t="shared" si="9"/>
        <v>1.3706255591105739E-3</v>
      </c>
      <c r="V62" s="41">
        <f t="shared" si="10"/>
        <v>5.7478130059832174E-3</v>
      </c>
      <c r="W62" s="41">
        <f t="shared" si="11"/>
        <v>7.8163491554923727E-3</v>
      </c>
      <c r="X62" s="107">
        <f t="shared" si="12"/>
        <v>2.4488009207068614E-2</v>
      </c>
      <c r="Z62" s="84"/>
      <c r="AS62" s="157"/>
      <c r="AT62" s="157"/>
    </row>
    <row r="63" spans="1:46" x14ac:dyDescent="0.2">
      <c r="A63" s="63">
        <v>82.74456787109375</v>
      </c>
      <c r="B63" s="84">
        <v>1.2355322019456079E-2</v>
      </c>
      <c r="C63" s="84">
        <f t="shared" si="1"/>
        <v>0.98764467798054389</v>
      </c>
      <c r="D63" s="62">
        <f t="shared" si="2"/>
        <v>4.2604558687779574E-3</v>
      </c>
      <c r="E63" s="50">
        <f>(2*Table!$AC$16*0.147)/A63</f>
        <v>1.1076870376311763</v>
      </c>
      <c r="F63" s="50">
        <f t="shared" si="3"/>
        <v>2.2153740752623525</v>
      </c>
      <c r="G63" s="63">
        <f>IF((('Raw Data'!C63)/('Raw Data'!C$136)*100)&lt;0,0,('Raw Data'!C63)/('Raw Data'!C$136)*100)</f>
        <v>1.2355322019456079</v>
      </c>
      <c r="H63" s="63">
        <f t="shared" si="4"/>
        <v>0.42604558687779615</v>
      </c>
      <c r="I63" s="36">
        <f t="shared" si="5"/>
        <v>3.8322169578613709E-2</v>
      </c>
      <c r="J63" s="50">
        <f>'Raw Data'!F63/I63</f>
        <v>0.11117470424105573</v>
      </c>
      <c r="K63" s="24">
        <f t="shared" si="6"/>
        <v>0.14541000003625226</v>
      </c>
      <c r="L63" s="63">
        <f>A63*Table!$AC$9/$AC$16</f>
        <v>18.579255061078428</v>
      </c>
      <c r="M63" s="63">
        <f>A63*Table!$AD$9/$AC$16</f>
        <v>6.37003030665546</v>
      </c>
      <c r="N63" s="63">
        <f>ABS(A63*Table!$AE$9/$AC$16)</f>
        <v>8.0450534331422592</v>
      </c>
      <c r="O63" s="63">
        <f>($L63*(Table!$AC$10/Table!$AC$9)/(Table!$AC$12-Table!$AC$14))</f>
        <v>39.852541958555193</v>
      </c>
      <c r="P63" s="63">
        <f>ROUND(($N63*(Table!$AE$10/Table!$AE$9)/(Table!$AC$12-Table!$AC$13)),2)</f>
        <v>66.05</v>
      </c>
      <c r="Q63" s="63">
        <f>'Raw Data'!C63</f>
        <v>1.7399999999999999E-2</v>
      </c>
      <c r="R63" s="63">
        <f>'Raw Data'!C63/'Raw Data'!I$30*100</f>
        <v>0.15848221987354538</v>
      </c>
      <c r="S63" s="10">
        <f t="shared" si="7"/>
        <v>5.8252427184466014E-2</v>
      </c>
      <c r="T63" s="10">
        <f t="shared" si="8"/>
        <v>0.90115817143890053</v>
      </c>
      <c r="U63" s="41">
        <f t="shared" si="9"/>
        <v>1.9153187206251646E-3</v>
      </c>
      <c r="V63" s="41">
        <f t="shared" si="10"/>
        <v>1.0121444947422715E-2</v>
      </c>
      <c r="W63" s="41">
        <f t="shared" si="11"/>
        <v>8.934251747593186E-3</v>
      </c>
      <c r="X63" s="107">
        <f t="shared" si="12"/>
        <v>3.3422260954661803E-2</v>
      </c>
      <c r="AS63" s="157"/>
      <c r="AT63" s="157"/>
    </row>
    <row r="64" spans="1:46" x14ac:dyDescent="0.2">
      <c r="A64" s="63">
        <v>92.042472839355469</v>
      </c>
      <c r="B64" s="84">
        <v>1.9882127387630476E-2</v>
      </c>
      <c r="C64" s="84">
        <f t="shared" si="1"/>
        <v>0.98011787261236949</v>
      </c>
      <c r="D64" s="62">
        <f t="shared" si="2"/>
        <v>7.5268053681743965E-3</v>
      </c>
      <c r="E64" s="50">
        <f>(2*Table!$AC$16*0.147)/A64</f>
        <v>0.99579120853447789</v>
      </c>
      <c r="F64" s="50">
        <f t="shared" si="3"/>
        <v>1.9915824170689558</v>
      </c>
      <c r="G64" s="63">
        <f>IF((('Raw Data'!C64)/('Raw Data'!C$136)*100)&lt;0,0,('Raw Data'!C64)/('Raw Data'!C$136)*100)</f>
        <v>1.9882127387630473</v>
      </c>
      <c r="H64" s="63">
        <f t="shared" si="4"/>
        <v>0.75268053681743941</v>
      </c>
      <c r="I64" s="36">
        <f t="shared" si="5"/>
        <v>4.6248785809253963E-2</v>
      </c>
      <c r="J64" s="50">
        <f>'Raw Data'!F64/I64</f>
        <v>0.16274601022430188</v>
      </c>
      <c r="K64" s="24">
        <f t="shared" si="6"/>
        <v>0.1617495422751854</v>
      </c>
      <c r="L64" s="63">
        <f>A64*Table!$AC$9/$AC$16</f>
        <v>20.666983021760075</v>
      </c>
      <c r="M64" s="63">
        <f>A64*Table!$AD$9/$AC$16</f>
        <v>7.0858227503177398</v>
      </c>
      <c r="N64" s="63">
        <f>ABS(A64*Table!$AE$9/$AC$16)</f>
        <v>8.949066158212954</v>
      </c>
      <c r="O64" s="63">
        <f>($L64*(Table!$AC$10/Table!$AC$9)/(Table!$AC$12-Table!$AC$14))</f>
        <v>44.330722912398279</v>
      </c>
      <c r="P64" s="63">
        <f>ROUND(($N64*(Table!$AE$10/Table!$AE$9)/(Table!$AC$12-Table!$AC$13)),2)</f>
        <v>73.47</v>
      </c>
      <c r="Q64" s="63">
        <f>'Raw Data'!C64</f>
        <v>2.7999999999999997E-2</v>
      </c>
      <c r="R64" s="63">
        <f>'Raw Data'!C64/'Raw Data'!I$30*100</f>
        <v>0.25502885956662474</v>
      </c>
      <c r="S64" s="10">
        <f t="shared" si="7"/>
        <v>0.10291262135922336</v>
      </c>
      <c r="T64" s="10">
        <f t="shared" si="8"/>
        <v>0.86343395964319669</v>
      </c>
      <c r="U64" s="41">
        <f t="shared" si="9"/>
        <v>2.7707736624127252E-3</v>
      </c>
      <c r="V64" s="41">
        <f t="shared" si="10"/>
        <v>1.8897801050991269E-2</v>
      </c>
      <c r="W64" s="41">
        <f t="shared" si="11"/>
        <v>1.2756021102599878E-2</v>
      </c>
      <c r="X64" s="107">
        <f t="shared" si="12"/>
        <v>4.6178282057261683E-2</v>
      </c>
      <c r="AS64" s="157"/>
      <c r="AT64" s="157"/>
    </row>
    <row r="65" spans="1:46" x14ac:dyDescent="0.2">
      <c r="A65" s="63">
        <v>101.33615875244141</v>
      </c>
      <c r="B65" s="84">
        <v>3.124334303770503E-2</v>
      </c>
      <c r="C65" s="84">
        <f t="shared" si="1"/>
        <v>0.96875665696229496</v>
      </c>
      <c r="D65" s="62">
        <f t="shared" si="2"/>
        <v>1.1361215650074554E-2</v>
      </c>
      <c r="E65" s="50">
        <f>(2*Table!$AC$16*0.147)/A65</f>
        <v>0.90446575431294873</v>
      </c>
      <c r="F65" s="50">
        <f t="shared" si="3"/>
        <v>1.8089315086258975</v>
      </c>
      <c r="G65" s="63">
        <f>IF((('Raw Data'!C65)/('Raw Data'!C$136)*100)&lt;0,0,('Raw Data'!C65)/('Raw Data'!C$136)*100)</f>
        <v>3.1243343037705031</v>
      </c>
      <c r="H65" s="63">
        <f t="shared" si="4"/>
        <v>1.1361215650074559</v>
      </c>
      <c r="I65" s="36">
        <f t="shared" si="5"/>
        <v>4.1776159870878384E-2</v>
      </c>
      <c r="J65" s="50">
        <f>'Raw Data'!F65/I65</f>
        <v>0.27195452346960003</v>
      </c>
      <c r="K65" s="24">
        <f t="shared" si="6"/>
        <v>0.17808167021697438</v>
      </c>
      <c r="L65" s="63">
        <f>A65*Table!$AC$9/$AC$16</f>
        <v>22.753763646510865</v>
      </c>
      <c r="M65" s="63">
        <f>A65*Table!$AD$9/$AC$16</f>
        <v>7.8012903930894391</v>
      </c>
      <c r="N65" s="63">
        <f>ABS(A65*Table!$AE$9/$AC$16)</f>
        <v>9.8526686747926266</v>
      </c>
      <c r="O65" s="63">
        <f>($L65*(Table!$AC$10/Table!$AC$9)/(Table!$AC$12-Table!$AC$14))</f>
        <v>48.80687182863764</v>
      </c>
      <c r="P65" s="63">
        <f>ROUND(($N65*(Table!$AE$10/Table!$AE$9)/(Table!$AC$12-Table!$AC$13)),2)</f>
        <v>80.89</v>
      </c>
      <c r="Q65" s="63">
        <f>'Raw Data'!C65</f>
        <v>4.3999999999999997E-2</v>
      </c>
      <c r="R65" s="63">
        <f>'Raw Data'!C65/'Raw Data'!I$30*100</f>
        <v>0.40075963646183888</v>
      </c>
      <c r="S65" s="10">
        <f t="shared" si="7"/>
        <v>0.1553398058252427</v>
      </c>
      <c r="T65" s="10">
        <f t="shared" si="8"/>
        <v>0.81645731732551918</v>
      </c>
      <c r="U65" s="41">
        <f t="shared" si="9"/>
        <v>3.9547545653558112E-3</v>
      </c>
      <c r="V65" s="41">
        <f t="shared" si="10"/>
        <v>3.4490701793165136E-2</v>
      </c>
      <c r="W65" s="41">
        <f t="shared" si="11"/>
        <v>1.5884627198541577E-2</v>
      </c>
      <c r="X65" s="107">
        <f t="shared" si="12"/>
        <v>6.206290925580326E-2</v>
      </c>
      <c r="AS65" s="157"/>
      <c r="AT65" s="157"/>
    </row>
    <row r="66" spans="1:46" x14ac:dyDescent="0.2">
      <c r="A66" s="63">
        <v>110.55809020996094</v>
      </c>
      <c r="B66" s="84">
        <v>5.275864517503373E-2</v>
      </c>
      <c r="C66" s="84">
        <f t="shared" si="1"/>
        <v>0.9472413548249663</v>
      </c>
      <c r="D66" s="62">
        <f t="shared" si="2"/>
        <v>2.1515302137328701E-2</v>
      </c>
      <c r="E66" s="50">
        <f>(2*Table!$AC$16*0.147)/A66</f>
        <v>0.82902196565752362</v>
      </c>
      <c r="F66" s="50">
        <f t="shared" si="3"/>
        <v>1.6580439313150472</v>
      </c>
      <c r="G66" s="63">
        <f>IF((('Raw Data'!C66)/('Raw Data'!C$136)*100)&lt;0,0,('Raw Data'!C66)/('Raw Data'!C$136)*100)</f>
        <v>5.2758645175033729</v>
      </c>
      <c r="H66" s="63">
        <f t="shared" si="4"/>
        <v>2.1515302137328698</v>
      </c>
      <c r="I66" s="36">
        <f t="shared" si="5"/>
        <v>3.7826090150596091E-2</v>
      </c>
      <c r="J66" s="50">
        <f>'Raw Data'!F66/I66</f>
        <v>0.56879529583074417</v>
      </c>
      <c r="K66" s="24">
        <f t="shared" si="6"/>
        <v>0.19428770147767646</v>
      </c>
      <c r="L66" s="63">
        <f>A66*Table!$AC$9/$AC$16</f>
        <v>24.824432708097603</v>
      </c>
      <c r="M66" s="63">
        <f>A66*Table!$AD$9/$AC$16</f>
        <v>8.5112340713477508</v>
      </c>
      <c r="N66" s="63">
        <f>ABS(A66*Table!$AE$9/$AC$16)</f>
        <v>10.749294679874929</v>
      </c>
      <c r="O66" s="63">
        <f>($L66*(Table!$AC$10/Table!$AC$9)/(Table!$AC$12-Table!$AC$14))</f>
        <v>53.24846140733078</v>
      </c>
      <c r="P66" s="63">
        <f>ROUND(($N66*(Table!$AE$10/Table!$AE$9)/(Table!$AC$12-Table!$AC$13)),2)</f>
        <v>88.25</v>
      </c>
      <c r="Q66" s="63">
        <f>'Raw Data'!C66</f>
        <v>7.4300000000000005E-2</v>
      </c>
      <c r="R66" s="63">
        <f>'Raw Data'!C66/'Raw Data'!I$30*100</f>
        <v>0.67673729520715076</v>
      </c>
      <c r="S66" s="10">
        <f t="shared" si="7"/>
        <v>0.29417475728155357</v>
      </c>
      <c r="T66" s="10">
        <f t="shared" si="8"/>
        <v>0.74171743019640413</v>
      </c>
      <c r="U66" s="41">
        <f t="shared" si="9"/>
        <v>6.1211015306248378E-3</v>
      </c>
      <c r="V66" s="41">
        <f t="shared" si="10"/>
        <v>7.2194102358665316E-2</v>
      </c>
      <c r="W66" s="41">
        <f t="shared" si="11"/>
        <v>2.5272458509881968E-2</v>
      </c>
      <c r="X66" s="107">
        <f t="shared" si="12"/>
        <v>8.7335367765685235E-2</v>
      </c>
      <c r="AS66" s="157"/>
      <c r="AT66" s="157"/>
    </row>
    <row r="67" spans="1:46" x14ac:dyDescent="0.2">
      <c r="A67" s="63">
        <v>121.01509094238281</v>
      </c>
      <c r="B67" s="84">
        <v>8.4215011006177648E-2</v>
      </c>
      <c r="C67" s="84">
        <f t="shared" si="1"/>
        <v>0.91578498899382232</v>
      </c>
      <c r="D67" s="62">
        <f t="shared" si="2"/>
        <v>3.1456365831143918E-2</v>
      </c>
      <c r="E67" s="50">
        <f>(2*Table!$AC$16*0.147)/A67</f>
        <v>0.75738558349588037</v>
      </c>
      <c r="F67" s="50">
        <f t="shared" si="3"/>
        <v>1.5147711669917607</v>
      </c>
      <c r="G67" s="63">
        <f>IF((('Raw Data'!C67)/('Raw Data'!C$136)*100)&lt;0,0,('Raw Data'!C67)/('Raw Data'!C$136)*100)</f>
        <v>8.421501100617764</v>
      </c>
      <c r="H67" s="63">
        <f t="shared" si="4"/>
        <v>3.1456365831143911</v>
      </c>
      <c r="I67" s="36">
        <f t="shared" si="5"/>
        <v>3.9249003454974674E-2</v>
      </c>
      <c r="J67" s="50">
        <f>'Raw Data'!F67/I67</f>
        <v>0.80145642085485702</v>
      </c>
      <c r="K67" s="24">
        <f t="shared" si="6"/>
        <v>0.2126641643199188</v>
      </c>
      <c r="L67" s="63">
        <f>A67*Table!$AC$9/$AC$16</f>
        <v>27.172421087035307</v>
      </c>
      <c r="M67" s="63">
        <f>A67*Table!$AD$9/$AC$16</f>
        <v>9.3162586584121048</v>
      </c>
      <c r="N67" s="63">
        <f>ABS(A67*Table!$AE$9/$AC$16)</f>
        <v>11.766003471850274</v>
      </c>
      <c r="O67" s="63">
        <f>($L67*(Table!$AC$10/Table!$AC$9)/(Table!$AC$12-Table!$AC$14))</f>
        <v>58.284901516592257</v>
      </c>
      <c r="P67" s="63">
        <f>ROUND(($N67*(Table!$AE$10/Table!$AE$9)/(Table!$AC$12-Table!$AC$13)),2)</f>
        <v>96.6</v>
      </c>
      <c r="Q67" s="63">
        <f>'Raw Data'!C67</f>
        <v>0.11859999999999998</v>
      </c>
      <c r="R67" s="63">
        <f>'Raw Data'!C67/'Raw Data'!I$30*100</f>
        <v>1.0802293837357746</v>
      </c>
      <c r="S67" s="10">
        <f t="shared" si="7"/>
        <v>0.43009708737864072</v>
      </c>
      <c r="T67" s="10">
        <f t="shared" si="8"/>
        <v>0.6505130852527985</v>
      </c>
      <c r="U67" s="41">
        <f t="shared" si="9"/>
        <v>8.9264022802750184E-3</v>
      </c>
      <c r="V67" s="41">
        <f t="shared" si="10"/>
        <v>0.13663651643853167</v>
      </c>
      <c r="W67" s="41">
        <f t="shared" si="11"/>
        <v>3.0839731126785924E-2</v>
      </c>
      <c r="X67" s="107">
        <f t="shared" si="12"/>
        <v>0.11817509889247116</v>
      </c>
      <c r="AS67" s="157"/>
      <c r="AT67" s="157"/>
    </row>
    <row r="68" spans="1:46" x14ac:dyDescent="0.2">
      <c r="A68" s="63">
        <v>132.60713195800781</v>
      </c>
      <c r="B68" s="84">
        <v>0.13491443584463536</v>
      </c>
      <c r="C68" s="84">
        <f t="shared" si="1"/>
        <v>0.86508556415536464</v>
      </c>
      <c r="D68" s="62">
        <f t="shared" si="2"/>
        <v>5.0699424838457713E-2</v>
      </c>
      <c r="E68" s="50">
        <f>(2*Table!$AC$16*0.147)/A68</f>
        <v>0.69117764566560191</v>
      </c>
      <c r="F68" s="50">
        <f t="shared" si="3"/>
        <v>1.3823552913312038</v>
      </c>
      <c r="G68" s="63">
        <f>IF((('Raw Data'!C68)/('Raw Data'!C$136)*100)&lt;0,0,('Raw Data'!C68)/('Raw Data'!C$136)*100)</f>
        <v>13.491443584463536</v>
      </c>
      <c r="H68" s="63">
        <f t="shared" si="4"/>
        <v>5.0699424838457716</v>
      </c>
      <c r="I68" s="36">
        <f t="shared" si="5"/>
        <v>3.9727350679424914E-2</v>
      </c>
      <c r="J68" s="50">
        <f>'Raw Data'!F68/I68</f>
        <v>1.2761843911407693</v>
      </c>
      <c r="K68" s="24">
        <f t="shared" si="6"/>
        <v>0.23303527420508049</v>
      </c>
      <c r="L68" s="63">
        <f>A68*Table!$AC$9/$AC$16</f>
        <v>29.775268527646787</v>
      </c>
      <c r="M68" s="63">
        <f>A68*Table!$AD$9/$AC$16</f>
        <v>10.208663495193184</v>
      </c>
      <c r="N68" s="63">
        <f>ABS(A68*Table!$AE$9/$AC$16)</f>
        <v>12.893069474722701</v>
      </c>
      <c r="O68" s="63">
        <f>($L68*(Table!$AC$10/Table!$AC$9)/(Table!$AC$12-Table!$AC$14))</f>
        <v>63.868014859817222</v>
      </c>
      <c r="P68" s="63">
        <f>ROUND(($N68*(Table!$AE$10/Table!$AE$9)/(Table!$AC$12-Table!$AC$13)),2)</f>
        <v>105.85</v>
      </c>
      <c r="Q68" s="63">
        <f>'Raw Data'!C68</f>
        <v>0.19</v>
      </c>
      <c r="R68" s="63">
        <f>'Raw Data'!C68/'Raw Data'!I$30*100</f>
        <v>1.7305529756306681</v>
      </c>
      <c r="S68" s="10">
        <f t="shared" si="7"/>
        <v>0.69320388349514583</v>
      </c>
      <c r="T68" s="10">
        <f t="shared" si="8"/>
        <v>0.52809225722250619</v>
      </c>
      <c r="U68" s="41">
        <f t="shared" si="9"/>
        <v>1.3050225505055607E-2</v>
      </c>
      <c r="V68" s="41">
        <f t="shared" si="10"/>
        <v>0.25970658478001668</v>
      </c>
      <c r="W68" s="41">
        <f t="shared" si="11"/>
        <v>4.1395236412335071E-2</v>
      </c>
      <c r="X68" s="107">
        <f t="shared" si="12"/>
        <v>0.15957033530480624</v>
      </c>
      <c r="AS68" s="157"/>
      <c r="AT68" s="157"/>
    </row>
    <row r="69" spans="1:46" x14ac:dyDescent="0.2">
      <c r="A69" s="63">
        <v>144.85725402832031</v>
      </c>
      <c r="B69" s="84">
        <v>0.19463182560533976</v>
      </c>
      <c r="C69" s="84">
        <f t="shared" si="1"/>
        <v>0.80536817439466024</v>
      </c>
      <c r="D69" s="62">
        <f t="shared" si="2"/>
        <v>5.9717389760704398E-2</v>
      </c>
      <c r="E69" s="50">
        <f>(2*Table!$AC$16*0.147)/A69</f>
        <v>0.63272692748465753</v>
      </c>
      <c r="F69" s="50">
        <f t="shared" si="3"/>
        <v>1.2654538549693151</v>
      </c>
      <c r="G69" s="63">
        <f>IF((('Raw Data'!C69)/('Raw Data'!C$136)*100)&lt;0,0,('Raw Data'!C69)/('Raw Data'!C$136)*100)</f>
        <v>19.463182560533976</v>
      </c>
      <c r="H69" s="63">
        <f t="shared" si="4"/>
        <v>5.9717389760704407</v>
      </c>
      <c r="I69" s="36">
        <f t="shared" si="5"/>
        <v>3.8373366095150546E-2</v>
      </c>
      <c r="J69" s="50">
        <f>'Raw Data'!F69/I69</f>
        <v>1.5562197387799976</v>
      </c>
      <c r="K69" s="24">
        <f t="shared" si="6"/>
        <v>0.25456285355582747</v>
      </c>
      <c r="L69" s="63">
        <f>A69*Table!$AC$9/$AC$16</f>
        <v>32.525879816453724</v>
      </c>
      <c r="M69" s="63">
        <f>A69*Table!$AD$9/$AC$16</f>
        <v>11.151730222784133</v>
      </c>
      <c r="N69" s="63">
        <f>ABS(A69*Table!$AE$9/$AC$16)</f>
        <v>14.084119100744232</v>
      </c>
      <c r="O69" s="63">
        <f>($L69*(Table!$AC$10/Table!$AC$9)/(Table!$AC$12-Table!$AC$14))</f>
        <v>69.768081974375221</v>
      </c>
      <c r="P69" s="63">
        <f>ROUND(($N69*(Table!$AE$10/Table!$AE$9)/(Table!$AC$12-Table!$AC$13)),2)</f>
        <v>115.63</v>
      </c>
      <c r="Q69" s="63">
        <f>'Raw Data'!C69</f>
        <v>0.27410000000000001</v>
      </c>
      <c r="R69" s="63">
        <f>'Raw Data'!C69/'Raw Data'!I$30*100</f>
        <v>2.496550371686137</v>
      </c>
      <c r="S69" s="10">
        <f t="shared" si="7"/>
        <v>0.81650485436893228</v>
      </c>
      <c r="T69" s="10">
        <f t="shared" si="8"/>
        <v>0.4072534681678891</v>
      </c>
      <c r="U69" s="41">
        <f t="shared" si="9"/>
        <v>1.7234555414104763E-2</v>
      </c>
      <c r="V69" s="41">
        <f t="shared" si="10"/>
        <v>0.41564775486671357</v>
      </c>
      <c r="W69" s="41">
        <f t="shared" si="11"/>
        <v>4.0860287593042638E-2</v>
      </c>
      <c r="X69" s="107">
        <f t="shared" si="12"/>
        <v>0.20043062289784888</v>
      </c>
      <c r="AS69" s="157"/>
      <c r="AT69" s="157"/>
    </row>
    <row r="70" spans="1:46" x14ac:dyDescent="0.2">
      <c r="A70" s="63">
        <v>158.28253173828125</v>
      </c>
      <c r="B70" s="84">
        <v>0.2677696513526947</v>
      </c>
      <c r="C70" s="84">
        <f t="shared" si="1"/>
        <v>0.7322303486473053</v>
      </c>
      <c r="D70" s="62">
        <f t="shared" si="2"/>
        <v>7.3137825747354945E-2</v>
      </c>
      <c r="E70" s="50">
        <f>(2*Table!$AC$16*0.147)/A70</f>
        <v>0.57906001539547336</v>
      </c>
      <c r="F70" s="50">
        <f t="shared" si="3"/>
        <v>1.1581200307909467</v>
      </c>
      <c r="G70" s="63">
        <f>IF((('Raw Data'!C70)/('Raw Data'!C$136)*100)&lt;0,0,('Raw Data'!C70)/('Raw Data'!C$136)*100)</f>
        <v>26.776965135269471</v>
      </c>
      <c r="H70" s="63">
        <f t="shared" si="4"/>
        <v>7.3137825747354945</v>
      </c>
      <c r="I70" s="36">
        <f t="shared" si="5"/>
        <v>3.8492739931067832E-2</v>
      </c>
      <c r="J70" s="50">
        <f>'Raw Data'!F70/I70</f>
        <v>1.9000420826973856</v>
      </c>
      <c r="K70" s="24">
        <f t="shared" si="6"/>
        <v>0.27815557610570368</v>
      </c>
      <c r="L70" s="63">
        <f>A70*Table!$AC$9/$AC$16</f>
        <v>35.540357567159489</v>
      </c>
      <c r="M70" s="63">
        <f>A70*Table!$AD$9/$AC$16</f>
        <v>12.185265451597537</v>
      </c>
      <c r="N70" s="63">
        <f>ABS(A70*Table!$AE$9/$AC$16)</f>
        <v>15.389426256371312</v>
      </c>
      <c r="O70" s="63">
        <f>($L70*(Table!$AC$10/Table!$AC$9)/(Table!$AC$12-Table!$AC$14))</f>
        <v>76.234143215700328</v>
      </c>
      <c r="P70" s="63">
        <f>ROUND(($N70*(Table!$AE$10/Table!$AE$9)/(Table!$AC$12-Table!$AC$13)),2)</f>
        <v>126.35</v>
      </c>
      <c r="Q70" s="63">
        <f>'Raw Data'!C70</f>
        <v>0.37709999999999999</v>
      </c>
      <c r="R70" s="63">
        <f>'Raw Data'!C70/'Raw Data'!I$30*100</f>
        <v>3.4346922479490782</v>
      </c>
      <c r="S70" s="10">
        <f t="shared" si="7"/>
        <v>1</v>
      </c>
      <c r="T70" s="10">
        <f t="shared" si="8"/>
        <v>0.28329902077869196</v>
      </c>
      <c r="U70" s="41">
        <f t="shared" si="9"/>
        <v>2.1699755558802353E-2</v>
      </c>
      <c r="V70" s="41">
        <f t="shared" si="10"/>
        <v>0.61364617706831281</v>
      </c>
      <c r="W70" s="41">
        <f t="shared" si="11"/>
        <v>4.191381267872573E-2</v>
      </c>
      <c r="X70" s="107">
        <f t="shared" si="12"/>
        <v>0.24234443557657462</v>
      </c>
      <c r="AS70" s="157"/>
      <c r="AT70" s="157"/>
    </row>
    <row r="71" spans="1:46" x14ac:dyDescent="0.2">
      <c r="A71" s="63">
        <v>173.85716247558594</v>
      </c>
      <c r="B71" s="84">
        <v>0.33707306681814952</v>
      </c>
      <c r="C71" s="84">
        <f t="shared" si="1"/>
        <v>0.66292693318185048</v>
      </c>
      <c r="D71" s="62">
        <f t="shared" si="2"/>
        <v>6.9303415465454821E-2</v>
      </c>
      <c r="E71" s="50">
        <f>(2*Table!$AC$16*0.147)/A71</f>
        <v>0.52718613349090171</v>
      </c>
      <c r="F71" s="50">
        <f t="shared" si="3"/>
        <v>1.0543722669818034</v>
      </c>
      <c r="G71" s="63">
        <f>IF((('Raw Data'!C71)/('Raw Data'!C$136)*100)&lt;0,0,('Raw Data'!C71)/('Raw Data'!C$136)*100)</f>
        <v>33.707306681814956</v>
      </c>
      <c r="H71" s="63">
        <f t="shared" si="4"/>
        <v>6.9303415465454847</v>
      </c>
      <c r="I71" s="36">
        <f t="shared" si="5"/>
        <v>4.0759599007612779E-2</v>
      </c>
      <c r="J71" s="50">
        <f>'Raw Data'!F71/I71</f>
        <v>1.700296792726318</v>
      </c>
      <c r="K71" s="24">
        <f t="shared" si="6"/>
        <v>0.3055254339023416</v>
      </c>
      <c r="L71" s="63">
        <f>A71*Table!$AC$9/$AC$16</f>
        <v>39.037445586294375</v>
      </c>
      <c r="M71" s="63">
        <f>A71*Table!$AD$9/$AC$16</f>
        <v>13.384267058158072</v>
      </c>
      <c r="N71" s="63">
        <f>ABS(A71*Table!$AE$9/$AC$16)</f>
        <v>16.903709788291824</v>
      </c>
      <c r="O71" s="63">
        <f>($L71*(Table!$AC$10/Table!$AC$9)/(Table!$AC$12-Table!$AC$14))</f>
        <v>83.735404518005964</v>
      </c>
      <c r="P71" s="63">
        <f>ROUND(($N71*(Table!$AE$10/Table!$AE$9)/(Table!$AC$12-Table!$AC$13)),2)</f>
        <v>138.78</v>
      </c>
      <c r="Q71" s="63">
        <f>'Raw Data'!C71</f>
        <v>0.47470000000000001</v>
      </c>
      <c r="R71" s="63">
        <f>'Raw Data'!C71/'Raw Data'!I$30*100</f>
        <v>4.3236499870098841</v>
      </c>
      <c r="S71" s="10">
        <f t="shared" si="7"/>
        <v>0.94757281553398109</v>
      </c>
      <c r="T71" s="10">
        <f t="shared" si="8"/>
        <v>0.18594463782961668</v>
      </c>
      <c r="U71" s="41">
        <f t="shared" si="9"/>
        <v>2.4868978220077859E-2</v>
      </c>
      <c r="V71" s="41">
        <f t="shared" si="10"/>
        <v>0.77273480802214167</v>
      </c>
      <c r="W71" s="41">
        <f t="shared" si="11"/>
        <v>3.29192978253404E-2</v>
      </c>
      <c r="X71" s="107">
        <f t="shared" si="12"/>
        <v>0.27526373340191501</v>
      </c>
      <c r="AS71" s="157"/>
      <c r="AT71" s="157"/>
    </row>
    <row r="72" spans="1:46" x14ac:dyDescent="0.2">
      <c r="A72" s="63">
        <v>190.02742004394531</v>
      </c>
      <c r="B72" s="84">
        <v>0.38173684584250511</v>
      </c>
      <c r="C72" s="84">
        <f t="shared" si="1"/>
        <v>0.61826315415749489</v>
      </c>
      <c r="D72" s="62">
        <f t="shared" si="2"/>
        <v>4.4663779024355588E-2</v>
      </c>
      <c r="E72" s="50">
        <f>(2*Table!$AC$16*0.147)/A72</f>
        <v>0.48232557829816186</v>
      </c>
      <c r="F72" s="50">
        <f t="shared" si="3"/>
        <v>0.96465115659632372</v>
      </c>
      <c r="G72" s="63">
        <f>IF((('Raw Data'!C72)/('Raw Data'!C$136)*100)&lt;0,0,('Raw Data'!C72)/('Raw Data'!C$136)*100)</f>
        <v>38.173684584250509</v>
      </c>
      <c r="H72" s="63">
        <f t="shared" si="4"/>
        <v>4.4663779024355534</v>
      </c>
      <c r="I72" s="36">
        <f t="shared" si="5"/>
        <v>3.8623684859580509E-2</v>
      </c>
      <c r="J72" s="50">
        <f>'Raw Data'!F72/I72</f>
        <v>1.156383167135252</v>
      </c>
      <c r="K72" s="24">
        <f t="shared" si="6"/>
        <v>0.33394200811497649</v>
      </c>
      <c r="L72" s="63">
        <f>A72*Table!$AC$9/$AC$16</f>
        <v>42.668274140912239</v>
      </c>
      <c r="M72" s="63">
        <f>A72*Table!$AD$9/$AC$16</f>
        <v>14.62912256259848</v>
      </c>
      <c r="N72" s="63">
        <f>ABS(A72*Table!$AE$9/$AC$16)</f>
        <v>18.475904670834321</v>
      </c>
      <c r="O72" s="63">
        <f>($L72*(Table!$AC$10/Table!$AC$9)/(Table!$AC$12-Table!$AC$14))</f>
        <v>91.523539555796319</v>
      </c>
      <c r="P72" s="63">
        <f>ROUND(($N72*(Table!$AE$10/Table!$AE$9)/(Table!$AC$12-Table!$AC$13)),2)</f>
        <v>151.69</v>
      </c>
      <c r="Q72" s="63">
        <f>'Raw Data'!C72</f>
        <v>0.53759999999999997</v>
      </c>
      <c r="R72" s="63">
        <f>'Raw Data'!C72/'Raw Data'!I$30*100</f>
        <v>4.8965541036791942</v>
      </c>
      <c r="S72" s="10">
        <f t="shared" si="7"/>
        <v>0.61067961165048534</v>
      </c>
      <c r="T72" s="10">
        <f t="shared" si="8"/>
        <v>0.13342654257685926</v>
      </c>
      <c r="U72" s="41">
        <f t="shared" si="9"/>
        <v>2.5767618707588768E-2</v>
      </c>
      <c r="V72" s="41">
        <f t="shared" si="10"/>
        <v>0.82053953772495258</v>
      </c>
      <c r="W72" s="41">
        <f t="shared" si="11"/>
        <v>1.7758407649190872E-2</v>
      </c>
      <c r="X72" s="107">
        <f t="shared" si="12"/>
        <v>0.29302214105110591</v>
      </c>
      <c r="AS72" s="157"/>
      <c r="AT72" s="157"/>
    </row>
    <row r="73" spans="1:46" x14ac:dyDescent="0.2">
      <c r="A73" s="63">
        <v>207.82868957519531</v>
      </c>
      <c r="B73" s="84">
        <v>0.41411631044521763</v>
      </c>
      <c r="C73" s="84">
        <f t="shared" si="1"/>
        <v>0.58588368955478232</v>
      </c>
      <c r="D73" s="62">
        <f t="shared" si="2"/>
        <v>3.2379464602712515E-2</v>
      </c>
      <c r="E73" s="50">
        <f>(2*Table!$AC$16*0.147)/A73</f>
        <v>0.44101266987030469</v>
      </c>
      <c r="F73" s="50">
        <f t="shared" si="3"/>
        <v>0.88202533974060937</v>
      </c>
      <c r="G73" s="63">
        <f>IF((('Raw Data'!C73)/('Raw Data'!C$136)*100)&lt;0,0,('Raw Data'!C73)/('Raw Data'!C$136)*100)</f>
        <v>41.411631044521762</v>
      </c>
      <c r="H73" s="63">
        <f t="shared" si="4"/>
        <v>3.2379464602712531</v>
      </c>
      <c r="I73" s="36">
        <f t="shared" si="5"/>
        <v>3.8889227174388696E-2</v>
      </c>
      <c r="J73" s="50">
        <f>'Raw Data'!F73/I73</f>
        <v>0.83260756140807757</v>
      </c>
      <c r="K73" s="24">
        <f t="shared" si="6"/>
        <v>0.36522481821094499</v>
      </c>
      <c r="L73" s="63">
        <f>A73*Table!$AC$9/$AC$16</f>
        <v>46.665325978168099</v>
      </c>
      <c r="M73" s="63">
        <f>A73*Table!$AD$9/$AC$16</f>
        <v>15.99954033537192</v>
      </c>
      <c r="N73" s="63">
        <f>ABS(A73*Table!$AE$9/$AC$16)</f>
        <v>20.20667888648774</v>
      </c>
      <c r="O73" s="63">
        <f>($L73*(Table!$AC$10/Table!$AC$9)/(Table!$AC$12-Table!$AC$14))</f>
        <v>100.0972243203949</v>
      </c>
      <c r="P73" s="63">
        <f>ROUND(($N73*(Table!$AE$10/Table!$AE$9)/(Table!$AC$12-Table!$AC$13)),2)</f>
        <v>165.9</v>
      </c>
      <c r="Q73" s="63">
        <f>'Raw Data'!C73</f>
        <v>0.58320000000000005</v>
      </c>
      <c r="R73" s="63">
        <f>'Raw Data'!C73/'Raw Data'!I$30*100</f>
        <v>5.3118868178305556</v>
      </c>
      <c r="S73" s="10">
        <f t="shared" si="7"/>
        <v>0.44271844660194221</v>
      </c>
      <c r="T73" s="10">
        <f t="shared" si="8"/>
        <v>0.10159595105303754</v>
      </c>
      <c r="U73" s="41">
        <f t="shared" si="9"/>
        <v>2.5558967959082669E-2</v>
      </c>
      <c r="V73" s="41">
        <f t="shared" si="10"/>
        <v>0.80933559048569492</v>
      </c>
      <c r="W73" s="41">
        <f t="shared" si="11"/>
        <v>1.0763159198261816E-2</v>
      </c>
      <c r="X73" s="107">
        <f t="shared" si="12"/>
        <v>0.30378530024936773</v>
      </c>
      <c r="AS73" s="157"/>
      <c r="AT73" s="157"/>
    </row>
    <row r="74" spans="1:46" x14ac:dyDescent="0.2">
      <c r="A74" s="63">
        <v>227.32835388183594</v>
      </c>
      <c r="B74" s="84">
        <v>0.44138322800539659</v>
      </c>
      <c r="C74" s="84">
        <f t="shared" si="1"/>
        <v>0.55861677199460336</v>
      </c>
      <c r="D74" s="62">
        <f t="shared" si="2"/>
        <v>2.726691756017896E-2</v>
      </c>
      <c r="E74" s="50">
        <f>(2*Table!$AC$16*0.147)/A74</f>
        <v>0.40318369310343688</v>
      </c>
      <c r="F74" s="50">
        <f t="shared" si="3"/>
        <v>0.80636738620687376</v>
      </c>
      <c r="G74" s="63">
        <f>IF((('Raw Data'!C74)/('Raw Data'!C$136)*100)&lt;0,0,('Raw Data'!C74)/('Raw Data'!C$136)*100)</f>
        <v>44.138322800539662</v>
      </c>
      <c r="H74" s="63">
        <f t="shared" si="4"/>
        <v>2.7266917560178996</v>
      </c>
      <c r="I74" s="36">
        <f t="shared" si="5"/>
        <v>3.8948107900219908E-2</v>
      </c>
      <c r="J74" s="50">
        <f>'Raw Data'!F74/I74</f>
        <v>0.70008323973101161</v>
      </c>
      <c r="K74" s="24">
        <f t="shared" si="6"/>
        <v>0.39949227842601082</v>
      </c>
      <c r="L74" s="63">
        <f>A74*Table!$AC$9/$AC$16</f>
        <v>51.043731063597839</v>
      </c>
      <c r="M74" s="63">
        <f>A74*Table!$AD$9/$AC$16</f>
        <v>17.500707793233545</v>
      </c>
      <c r="N74" s="63">
        <f>ABS(A74*Table!$AE$9/$AC$16)</f>
        <v>22.102583902508307</v>
      </c>
      <c r="O74" s="63">
        <f>($L74*(Table!$AC$10/Table!$AC$9)/(Table!$AC$12-Table!$AC$14))</f>
        <v>109.48891262033</v>
      </c>
      <c r="P74" s="63">
        <f>ROUND(($N74*(Table!$AE$10/Table!$AE$9)/(Table!$AC$12-Table!$AC$13)),2)</f>
        <v>181.47</v>
      </c>
      <c r="Q74" s="63">
        <f>'Raw Data'!C74</f>
        <v>0.62160000000000004</v>
      </c>
      <c r="R74" s="63">
        <f>'Raw Data'!C74/'Raw Data'!I$30*100</f>
        <v>5.6616406823790699</v>
      </c>
      <c r="S74" s="10">
        <f t="shared" si="7"/>
        <v>0.37281553398058292</v>
      </c>
      <c r="T74" s="10">
        <f t="shared" si="8"/>
        <v>7.9192502444752622E-2</v>
      </c>
      <c r="U74" s="41">
        <f t="shared" si="9"/>
        <v>2.4905123297210698E-2</v>
      </c>
      <c r="V74" s="41">
        <f t="shared" si="10"/>
        <v>0.77463493792923777</v>
      </c>
      <c r="W74" s="41">
        <f t="shared" si="11"/>
        <v>7.5754760567546351E-3</v>
      </c>
      <c r="X74" s="107">
        <f t="shared" si="12"/>
        <v>0.31136077630612236</v>
      </c>
      <c r="AS74" s="157"/>
      <c r="AT74" s="157"/>
    </row>
    <row r="75" spans="1:46" x14ac:dyDescent="0.2">
      <c r="A75" s="63">
        <v>250.06832885742188</v>
      </c>
      <c r="B75" s="84">
        <v>0.4655968188596179</v>
      </c>
      <c r="C75" s="84">
        <f t="shared" si="1"/>
        <v>0.5344031811403821</v>
      </c>
      <c r="D75" s="62">
        <f t="shared" si="2"/>
        <v>2.4213590854221312E-2</v>
      </c>
      <c r="E75" s="50">
        <f>(2*Table!$AC$16*0.147)/A75</f>
        <v>0.36652016544430699</v>
      </c>
      <c r="F75" s="50">
        <f t="shared" si="3"/>
        <v>0.73304033088861398</v>
      </c>
      <c r="G75" s="63">
        <f>IF((('Raw Data'!C75)/('Raw Data'!C$136)*100)&lt;0,0,('Raw Data'!C75)/('Raw Data'!C$136)*100)</f>
        <v>46.559681885961787</v>
      </c>
      <c r="H75" s="63">
        <f t="shared" si="4"/>
        <v>2.4213590854221252</v>
      </c>
      <c r="I75" s="36">
        <f t="shared" si="5"/>
        <v>4.1405084679947857E-2</v>
      </c>
      <c r="J75" s="50">
        <f>'Raw Data'!F75/I75</f>
        <v>0.58479752043467637</v>
      </c>
      <c r="K75" s="24">
        <f t="shared" si="6"/>
        <v>0.43945405292189854</v>
      </c>
      <c r="L75" s="63">
        <f>A75*Table!$AC$9/$AC$16</f>
        <v>56.14970727477516</v>
      </c>
      <c r="M75" s="63">
        <f>A75*Table!$AD$9/$AC$16</f>
        <v>19.251328208494339</v>
      </c>
      <c r="N75" s="63">
        <f>ABS(A75*Table!$AE$9/$AC$16)</f>
        <v>24.313536457507595</v>
      </c>
      <c r="O75" s="63">
        <f>($L75*(Table!$AC$10/Table!$AC$9)/(Table!$AC$12-Table!$AC$14))</f>
        <v>120.44124254563529</v>
      </c>
      <c r="P75" s="63">
        <f>ROUND(($N75*(Table!$AE$10/Table!$AE$9)/(Table!$AC$12-Table!$AC$13)),2)</f>
        <v>199.62</v>
      </c>
      <c r="Q75" s="63">
        <f>'Raw Data'!C75</f>
        <v>0.65569999999999995</v>
      </c>
      <c r="R75" s="63">
        <f>'Raw Data'!C75/'Raw Data'!I$30*100</f>
        <v>5.9722294006369943</v>
      </c>
      <c r="S75" s="10">
        <f t="shared" si="7"/>
        <v>0.33106796116504739</v>
      </c>
      <c r="T75" s="10">
        <f t="shared" si="8"/>
        <v>6.2751516404985996E-2</v>
      </c>
      <c r="U75" s="41">
        <f t="shared" si="9"/>
        <v>2.3882390176814837E-2</v>
      </c>
      <c r="V75" s="41">
        <f t="shared" si="10"/>
        <v>0.72160982460410039</v>
      </c>
      <c r="W75" s="41">
        <f t="shared" si="11"/>
        <v>5.5593358982969293E-3</v>
      </c>
      <c r="X75" s="107">
        <f t="shared" si="12"/>
        <v>0.31692011220441929</v>
      </c>
      <c r="AS75" s="157"/>
      <c r="AT75" s="157"/>
    </row>
    <row r="76" spans="1:46" x14ac:dyDescent="0.2">
      <c r="A76" s="63">
        <v>273.1697998046875</v>
      </c>
      <c r="B76" s="84">
        <v>0.48789320457288932</v>
      </c>
      <c r="C76" s="84">
        <f t="shared" si="1"/>
        <v>0.51210679542711068</v>
      </c>
      <c r="D76" s="62">
        <f t="shared" si="2"/>
        <v>2.2296385713271416E-2</v>
      </c>
      <c r="E76" s="50">
        <f>(2*Table!$AC$16*0.147)/A76</f>
        <v>0.33552422460585218</v>
      </c>
      <c r="F76" s="50">
        <f t="shared" si="3"/>
        <v>0.67104844921170437</v>
      </c>
      <c r="G76" s="63">
        <f>IF((('Raw Data'!C76)/('Raw Data'!C$136)*100)&lt;0,0,('Raw Data'!C76)/('Raw Data'!C$136)*100)</f>
        <v>48.78932045728893</v>
      </c>
      <c r="H76" s="63">
        <f t="shared" si="4"/>
        <v>2.2296385713271434</v>
      </c>
      <c r="I76" s="36">
        <f t="shared" si="5"/>
        <v>3.8373992546273439E-2</v>
      </c>
      <c r="J76" s="50">
        <f>'Raw Data'!F76/I76</f>
        <v>0.58102856215404808</v>
      </c>
      <c r="K76" s="24">
        <f t="shared" si="6"/>
        <v>0.48005109726821249</v>
      </c>
      <c r="L76" s="63">
        <f>A76*Table!$AC$9/$AC$16</f>
        <v>61.336852873069859</v>
      </c>
      <c r="M76" s="63">
        <f>A76*Table!$AD$9/$AC$16</f>
        <v>21.029778127909665</v>
      </c>
      <c r="N76" s="63">
        <f>ABS(A76*Table!$AE$9/$AC$16)</f>
        <v>26.559636388133516</v>
      </c>
      <c r="O76" s="63">
        <f>($L76*(Table!$AC$10/Table!$AC$9)/(Table!$AC$12-Table!$AC$14))</f>
        <v>131.56768098041584</v>
      </c>
      <c r="P76" s="63">
        <f>ROUND(($N76*(Table!$AE$10/Table!$AE$9)/(Table!$AC$12-Table!$AC$13)),2)</f>
        <v>218.06</v>
      </c>
      <c r="Q76" s="63">
        <f>'Raw Data'!C76</f>
        <v>0.68710000000000004</v>
      </c>
      <c r="R76" s="63">
        <f>'Raw Data'!C76/'Raw Data'!I$30*100</f>
        <v>6.2582260502938523</v>
      </c>
      <c r="S76" s="10">
        <f t="shared" si="7"/>
        <v>0.30485436893204026</v>
      </c>
      <c r="T76" s="10">
        <f t="shared" si="8"/>
        <v>5.0064627276292573E-2</v>
      </c>
      <c r="U76" s="41">
        <f t="shared" si="9"/>
        <v>2.2909655660209857E-2</v>
      </c>
      <c r="V76" s="41">
        <f t="shared" si="10"/>
        <v>0.67261149229327144</v>
      </c>
      <c r="W76" s="41">
        <f t="shared" si="11"/>
        <v>4.2899299348750832E-3</v>
      </c>
      <c r="X76" s="107">
        <f t="shared" si="12"/>
        <v>0.32121004213929438</v>
      </c>
      <c r="AS76" s="157"/>
      <c r="AT76" s="157"/>
    </row>
    <row r="77" spans="1:46" x14ac:dyDescent="0.2">
      <c r="A77" s="63">
        <v>299.19882202148437</v>
      </c>
      <c r="B77" s="84">
        <v>0.50727827877582898</v>
      </c>
      <c r="C77" s="84">
        <f t="shared" si="1"/>
        <v>0.49272172122417102</v>
      </c>
      <c r="D77" s="62">
        <f t="shared" si="2"/>
        <v>1.9385074202939667E-2</v>
      </c>
      <c r="E77" s="50">
        <f>(2*Table!$AC$16*0.147)/A77</f>
        <v>0.30633504719688442</v>
      </c>
      <c r="F77" s="50">
        <f t="shared" si="3"/>
        <v>0.61267009439376885</v>
      </c>
      <c r="G77" s="63">
        <f>IF((('Raw Data'!C77)/('Raw Data'!C$136)*100)&lt;0,0,('Raw Data'!C77)/('Raw Data'!C$136)*100)</f>
        <v>50.727827877582897</v>
      </c>
      <c r="H77" s="63">
        <f t="shared" si="4"/>
        <v>1.9385074202939663</v>
      </c>
      <c r="I77" s="36">
        <f t="shared" si="5"/>
        <v>3.9527194947860111E-2</v>
      </c>
      <c r="J77" s="50">
        <f>'Raw Data'!F77/I77</f>
        <v>0.4904237254505488</v>
      </c>
      <c r="K77" s="24">
        <f t="shared" si="6"/>
        <v>0.52579283257323506</v>
      </c>
      <c r="L77" s="63">
        <f>A77*Table!$AC$9/$AC$16</f>
        <v>67.181343396118308</v>
      </c>
      <c r="M77" s="63">
        <f>A77*Table!$AD$9/$AC$16</f>
        <v>23.033603450097704</v>
      </c>
      <c r="N77" s="63">
        <f>ABS(A77*Table!$AE$9/$AC$16)</f>
        <v>29.09037502070219</v>
      </c>
      <c r="O77" s="63">
        <f>($L77*(Table!$AC$10/Table!$AC$9)/(Table!$AC$12-Table!$AC$14))</f>
        <v>144.10412568879948</v>
      </c>
      <c r="P77" s="63">
        <f>ROUND(($N77*(Table!$AE$10/Table!$AE$9)/(Table!$AC$12-Table!$AC$13)),2)</f>
        <v>238.84</v>
      </c>
      <c r="Q77" s="63">
        <f>'Raw Data'!C77</f>
        <v>0.71440000000000003</v>
      </c>
      <c r="R77" s="63">
        <f>'Raw Data'!C77/'Raw Data'!I$30*100</f>
        <v>6.506879188371312</v>
      </c>
      <c r="S77" s="10">
        <f t="shared" si="7"/>
        <v>0.26504854368931979</v>
      </c>
      <c r="T77" s="10">
        <f t="shared" si="8"/>
        <v>4.0870007944524889E-2</v>
      </c>
      <c r="U77" s="41">
        <f t="shared" si="9"/>
        <v>2.1747676492870939E-2</v>
      </c>
      <c r="V77" s="41">
        <f t="shared" si="10"/>
        <v>0.61593948954606581</v>
      </c>
      <c r="W77" s="41">
        <f t="shared" si="11"/>
        <v>3.1090578873209942E-3</v>
      </c>
      <c r="X77" s="107">
        <f t="shared" si="12"/>
        <v>0.3243191000266154</v>
      </c>
      <c r="AS77" s="157"/>
      <c r="AT77" s="157"/>
    </row>
    <row r="78" spans="1:46" x14ac:dyDescent="0.2">
      <c r="A78" s="63">
        <v>327.37091064453125</v>
      </c>
      <c r="B78" s="84">
        <v>0.5262373073918909</v>
      </c>
      <c r="C78" s="84">
        <f t="shared" si="1"/>
        <v>0.4737626926081091</v>
      </c>
      <c r="D78" s="62">
        <f t="shared" si="2"/>
        <v>1.8959028616061913E-2</v>
      </c>
      <c r="E78" s="50">
        <f>(2*Table!$AC$16*0.147)/A78</f>
        <v>0.27997321168442291</v>
      </c>
      <c r="F78" s="50">
        <f t="shared" si="3"/>
        <v>0.55994642336884581</v>
      </c>
      <c r="G78" s="63">
        <f>IF((('Raw Data'!C78)/('Raw Data'!C$136)*100)&lt;0,0,('Raw Data'!C78)/('Raw Data'!C$136)*100)</f>
        <v>52.623730739189092</v>
      </c>
      <c r="H78" s="63">
        <f t="shared" si="4"/>
        <v>1.8959028616061957</v>
      </c>
      <c r="I78" s="36">
        <f t="shared" si="5"/>
        <v>3.9080207144472356E-2</v>
      </c>
      <c r="J78" s="50">
        <f>'Raw Data'!F78/I78</f>
        <v>0.48513122118247382</v>
      </c>
      <c r="K78" s="24">
        <f t="shared" si="6"/>
        <v>0.57530065542005226</v>
      </c>
      <c r="L78" s="63">
        <f>A78*Table!$AC$9/$AC$16</f>
        <v>73.507032605666353</v>
      </c>
      <c r="M78" s="63">
        <f>A78*Table!$AD$9/$AC$16</f>
        <v>25.202411179085605</v>
      </c>
      <c r="N78" s="63">
        <f>ABS(A78*Table!$AE$9/$AC$16)</f>
        <v>31.82947879665905</v>
      </c>
      <c r="O78" s="63">
        <f>($L78*(Table!$AC$10/Table!$AC$9)/(Table!$AC$12-Table!$AC$14))</f>
        <v>157.67274261189695</v>
      </c>
      <c r="P78" s="63">
        <f>ROUND(($N78*(Table!$AE$10/Table!$AE$9)/(Table!$AC$12-Table!$AC$13)),2)</f>
        <v>261.33</v>
      </c>
      <c r="Q78" s="63">
        <f>'Raw Data'!C78</f>
        <v>0.74109999999999998</v>
      </c>
      <c r="R78" s="63">
        <f>'Raw Data'!C78/'Raw Data'!I$30*100</f>
        <v>6.7500674223151993</v>
      </c>
      <c r="S78" s="10">
        <f t="shared" si="7"/>
        <v>0.25922330097087376</v>
      </c>
      <c r="T78" s="10">
        <f t="shared" si="8"/>
        <v>3.3358589544444706E-2</v>
      </c>
      <c r="U78" s="41">
        <f t="shared" si="9"/>
        <v>2.0619020208684995E-2</v>
      </c>
      <c r="V78" s="41">
        <f t="shared" si="10"/>
        <v>0.56285966095656736</v>
      </c>
      <c r="W78" s="41">
        <f t="shared" si="11"/>
        <v>2.5399022818759476E-3</v>
      </c>
      <c r="X78" s="107">
        <f t="shared" si="12"/>
        <v>0.32685900230849135</v>
      </c>
      <c r="AS78" s="157"/>
      <c r="AT78" s="157"/>
    </row>
    <row r="79" spans="1:46" x14ac:dyDescent="0.2">
      <c r="A79" s="63">
        <v>357.63165283203125</v>
      </c>
      <c r="B79" s="84">
        <v>0.54427323723638421</v>
      </c>
      <c r="C79" s="84">
        <f t="shared" si="1"/>
        <v>0.45572676276361579</v>
      </c>
      <c r="D79" s="62">
        <f t="shared" si="2"/>
        <v>1.8035929844493315E-2</v>
      </c>
      <c r="E79" s="50">
        <f>(2*Table!$AC$16*0.147)/A79</f>
        <v>0.25628348201117213</v>
      </c>
      <c r="F79" s="50">
        <f t="shared" si="3"/>
        <v>0.51256696402234425</v>
      </c>
      <c r="G79" s="63">
        <f>IF((('Raw Data'!C79)/('Raw Data'!C$136)*100)&lt;0,0,('Raw Data'!C79)/('Raw Data'!C$136)*100)</f>
        <v>54.427323723638423</v>
      </c>
      <c r="H79" s="63">
        <f t="shared" si="4"/>
        <v>1.803592984449331</v>
      </c>
      <c r="I79" s="36">
        <f t="shared" si="5"/>
        <v>3.8395863363115623E-2</v>
      </c>
      <c r="J79" s="50">
        <f>'Raw Data'!F79/I79</f>
        <v>0.46973627533582807</v>
      </c>
      <c r="K79" s="24">
        <f t="shared" si="6"/>
        <v>0.62847894416809913</v>
      </c>
      <c r="L79" s="63">
        <f>A79*Table!$AC$9/$AC$16</f>
        <v>80.301702780450199</v>
      </c>
      <c r="M79" s="63">
        <f>A79*Table!$AD$9/$AC$16</f>
        <v>27.53201238186864</v>
      </c>
      <c r="N79" s="63">
        <f>ABS(A79*Table!$AE$9/$AC$16)</f>
        <v>34.771657287508681</v>
      </c>
      <c r="O79" s="63">
        <f>($L79*(Table!$AC$10/Table!$AC$9)/(Table!$AC$12-Table!$AC$14))</f>
        <v>172.24732471139041</v>
      </c>
      <c r="P79" s="63">
        <f>ROUND(($N79*(Table!$AE$10/Table!$AE$9)/(Table!$AC$12-Table!$AC$13)),2)</f>
        <v>285.48</v>
      </c>
      <c r="Q79" s="63">
        <f>'Raw Data'!C79</f>
        <v>0.76649999999999996</v>
      </c>
      <c r="R79" s="63">
        <f>'Raw Data'!C79/'Raw Data'!I$30*100</f>
        <v>6.9814150306363523</v>
      </c>
      <c r="S79" s="10">
        <f t="shared" si="7"/>
        <v>0.24660194174757225</v>
      </c>
      <c r="T79" s="10">
        <f t="shared" si="8"/>
        <v>2.7370990888880065E-2</v>
      </c>
      <c r="U79" s="41">
        <f t="shared" si="9"/>
        <v>1.9521244764974178E-2</v>
      </c>
      <c r="V79" s="41">
        <f t="shared" si="10"/>
        <v>0.51312253689374621</v>
      </c>
      <c r="W79" s="41">
        <f t="shared" si="11"/>
        <v>2.0246396456977843E-3</v>
      </c>
      <c r="X79" s="107">
        <f t="shared" si="12"/>
        <v>0.32888364195418912</v>
      </c>
      <c r="AS79" s="157"/>
      <c r="AT79" s="157"/>
    </row>
    <row r="80" spans="1:46" x14ac:dyDescent="0.2">
      <c r="A80" s="63">
        <v>391.69168090820312</v>
      </c>
      <c r="B80" s="84">
        <v>0.56273521266775539</v>
      </c>
      <c r="C80" s="84">
        <f t="shared" si="1"/>
        <v>0.43726478733224461</v>
      </c>
      <c r="D80" s="62">
        <f t="shared" si="2"/>
        <v>1.846197543137118E-2</v>
      </c>
      <c r="E80" s="50">
        <f>(2*Table!$AC$16*0.147)/A80</f>
        <v>0.2339980391023008</v>
      </c>
      <c r="F80" s="50">
        <f t="shared" si="3"/>
        <v>0.4679960782046016</v>
      </c>
      <c r="G80" s="63">
        <f>IF((('Raw Data'!C80)/('Raw Data'!C$136)*100)&lt;0,0,('Raw Data'!C80)/('Raw Data'!C$136)*100)</f>
        <v>56.273521266775539</v>
      </c>
      <c r="H80" s="63">
        <f t="shared" si="4"/>
        <v>1.8461975431371158</v>
      </c>
      <c r="I80" s="36">
        <f t="shared" si="5"/>
        <v>3.9508397879870594E-2</v>
      </c>
      <c r="J80" s="50">
        <f>'Raw Data'!F80/I80</f>
        <v>0.46729243457319486</v>
      </c>
      <c r="K80" s="24">
        <f t="shared" si="6"/>
        <v>0.68833385442041428</v>
      </c>
      <c r="L80" s="63">
        <f>A80*Table!$AC$9/$AC$16</f>
        <v>87.949454956768676</v>
      </c>
      <c r="M80" s="63">
        <f>A80*Table!$AD$9/$AC$16</f>
        <v>30.154098842320689</v>
      </c>
      <c r="N80" s="63">
        <f>ABS(A80*Table!$AE$9/$AC$16)</f>
        <v>38.08323112077845</v>
      </c>
      <c r="O80" s="63">
        <f>($L80*(Table!$AC$10/Table!$AC$9)/(Table!$AC$12-Table!$AC$14))</f>
        <v>188.65176953403838</v>
      </c>
      <c r="P80" s="63">
        <f>ROUND(($N80*(Table!$AE$10/Table!$AE$9)/(Table!$AC$12-Table!$AC$13)),2)</f>
        <v>312.67</v>
      </c>
      <c r="Q80" s="63">
        <f>'Raw Data'!C80</f>
        <v>0.79249999999999998</v>
      </c>
      <c r="R80" s="63">
        <f>'Raw Data'!C80/'Raw Data'!I$30*100</f>
        <v>7.2182275430910758</v>
      </c>
      <c r="S80" s="10">
        <f t="shared" si="7"/>
        <v>0.2524271844660198</v>
      </c>
      <c r="T80" s="10">
        <f t="shared" si="8"/>
        <v>2.2261524839163549E-2</v>
      </c>
      <c r="U80" s="41">
        <f t="shared" si="9"/>
        <v>1.8428340184183642E-2</v>
      </c>
      <c r="V80" s="41">
        <f t="shared" si="10"/>
        <v>0.46548972051083698</v>
      </c>
      <c r="W80" s="41">
        <f t="shared" si="11"/>
        <v>1.7277089076417128E-3</v>
      </c>
      <c r="X80" s="107">
        <f t="shared" si="12"/>
        <v>0.33061135086183085</v>
      </c>
      <c r="AS80" s="157"/>
      <c r="AT80" s="157"/>
    </row>
    <row r="81" spans="1:46" x14ac:dyDescent="0.2">
      <c r="A81" s="63">
        <v>428.64453125</v>
      </c>
      <c r="B81" s="84">
        <v>0.58070013491443573</v>
      </c>
      <c r="C81" s="84">
        <f t="shared" si="1"/>
        <v>0.41929986508556427</v>
      </c>
      <c r="D81" s="62">
        <f t="shared" si="2"/>
        <v>1.7964922246680337E-2</v>
      </c>
      <c r="E81" s="50">
        <f>(2*Table!$AC$16*0.147)/A81</f>
        <v>0.21382539279790155</v>
      </c>
      <c r="F81" s="50">
        <f t="shared" si="3"/>
        <v>0.42765078559580311</v>
      </c>
      <c r="G81" s="63">
        <f>IF((('Raw Data'!C81)/('Raw Data'!C$136)*100)&lt;0,0,('Raw Data'!C81)/('Raw Data'!C$136)*100)</f>
        <v>58.070013491443575</v>
      </c>
      <c r="H81" s="63">
        <f t="shared" si="4"/>
        <v>1.7964922246680359</v>
      </c>
      <c r="I81" s="36">
        <f t="shared" si="5"/>
        <v>3.9152939546338694E-2</v>
      </c>
      <c r="J81" s="50">
        <f>'Raw Data'!F81/I81</f>
        <v>0.45883967985132523</v>
      </c>
      <c r="K81" s="24">
        <f t="shared" si="6"/>
        <v>0.75327242510594006</v>
      </c>
      <c r="L81" s="63">
        <f>A81*Table!$AC$9/$AC$16</f>
        <v>96.246754095531202</v>
      </c>
      <c r="M81" s="63">
        <f>A81*Table!$AD$9/$AC$16</f>
        <v>32.998887118467842</v>
      </c>
      <c r="N81" s="63">
        <f>ABS(A81*Table!$AE$9/$AC$16)</f>
        <v>41.676067039261994</v>
      </c>
      <c r="O81" s="63">
        <f>($L81*(Table!$AC$10/Table!$AC$9)/(Table!$AC$12-Table!$AC$14))</f>
        <v>206.44949398440843</v>
      </c>
      <c r="P81" s="63">
        <f>ROUND(($N81*(Table!$AE$10/Table!$AE$9)/(Table!$AC$12-Table!$AC$13)),2)</f>
        <v>342.17</v>
      </c>
      <c r="Q81" s="63">
        <f>'Raw Data'!C81</f>
        <v>0.81779999999999997</v>
      </c>
      <c r="R81" s="63">
        <f>'Raw Data'!C81/'Raw Data'!I$30*100</f>
        <v>7.448664334056633</v>
      </c>
      <c r="S81" s="10">
        <f t="shared" si="7"/>
        <v>0.24563106796116432</v>
      </c>
      <c r="T81" s="10">
        <f t="shared" si="8"/>
        <v>1.8109912329472233E-2</v>
      </c>
      <c r="U81" s="41">
        <f t="shared" si="9"/>
        <v>1.7377252690790355E-2</v>
      </c>
      <c r="V81" s="41">
        <f t="shared" si="10"/>
        <v>0.42148387443442203</v>
      </c>
      <c r="W81" s="41">
        <f t="shared" si="11"/>
        <v>1.4038214256201114E-3</v>
      </c>
      <c r="X81" s="107">
        <f t="shared" si="12"/>
        <v>0.33201517228745098</v>
      </c>
      <c r="AS81" s="157"/>
      <c r="AT81" s="157"/>
    </row>
    <row r="82" spans="1:46" x14ac:dyDescent="0.2">
      <c r="A82" s="63">
        <v>469.18609619140625</v>
      </c>
      <c r="B82" s="84">
        <v>0.59802598878079949</v>
      </c>
      <c r="C82" s="84">
        <f t="shared" si="1"/>
        <v>0.40197401121920051</v>
      </c>
      <c r="D82" s="62">
        <f t="shared" si="2"/>
        <v>1.7325853866363761E-2</v>
      </c>
      <c r="E82" s="50">
        <f>(2*Table!$AC$16*0.147)/A82</f>
        <v>0.19534910776173683</v>
      </c>
      <c r="F82" s="50">
        <f t="shared" si="3"/>
        <v>0.39069821552347367</v>
      </c>
      <c r="G82" s="63">
        <f>IF((('Raw Data'!C82)/('Raw Data'!C$136)*100)&lt;0,0,('Raw Data'!C82)/('Raw Data'!C$136)*100)</f>
        <v>59.802598878079948</v>
      </c>
      <c r="H82" s="63">
        <f t="shared" si="4"/>
        <v>1.732585386636373</v>
      </c>
      <c r="I82" s="36">
        <f t="shared" si="5"/>
        <v>3.9247846535133579E-2</v>
      </c>
      <c r="J82" s="50">
        <f>'Raw Data'!F82/I82</f>
        <v>0.44144724859882795</v>
      </c>
      <c r="K82" s="24">
        <f t="shared" si="6"/>
        <v>0.82451757280897187</v>
      </c>
      <c r="L82" s="63">
        <f>A82*Table!$AC$9/$AC$16</f>
        <v>105.34985409352875</v>
      </c>
      <c r="M82" s="63">
        <f>A82*Table!$AD$9/$AC$16</f>
        <v>36.119949974924147</v>
      </c>
      <c r="N82" s="63">
        <f>ABS(A82*Table!$AE$9/$AC$16)</f>
        <v>45.617824964989971</v>
      </c>
      <c r="O82" s="63">
        <f>($L82*(Table!$AC$10/Table!$AC$9)/(Table!$AC$12-Table!$AC$14))</f>
        <v>225.97566300628219</v>
      </c>
      <c r="P82" s="63">
        <f>ROUND(($N82*(Table!$AE$10/Table!$AE$9)/(Table!$AC$12-Table!$AC$13)),2)</f>
        <v>374.53</v>
      </c>
      <c r="Q82" s="63">
        <f>'Raw Data'!C82</f>
        <v>0.84219999999999995</v>
      </c>
      <c r="R82" s="63">
        <f>'Raw Data'!C82/'Raw Data'!I$30*100</f>
        <v>7.6709037688218338</v>
      </c>
      <c r="S82" s="10">
        <f t="shared" si="7"/>
        <v>0.23689320388349602</v>
      </c>
      <c r="T82" s="10">
        <f t="shared" si="8"/>
        <v>1.4768035616950836E-2</v>
      </c>
      <c r="U82" s="41">
        <f t="shared" si="9"/>
        <v>1.6349384244524715E-2</v>
      </c>
      <c r="V82" s="41">
        <f t="shared" si="10"/>
        <v>0.38019269175557829</v>
      </c>
      <c r="W82" s="41">
        <f t="shared" si="11"/>
        <v>1.1300183049037453E-3</v>
      </c>
      <c r="X82" s="107">
        <f t="shared" si="12"/>
        <v>0.3331451905923547</v>
      </c>
      <c r="AS82" s="157"/>
      <c r="AT82" s="157"/>
    </row>
    <row r="83" spans="1:46" x14ac:dyDescent="0.2">
      <c r="A83" s="63">
        <v>513.0238037109375</v>
      </c>
      <c r="B83" s="84">
        <v>0.61513881985372432</v>
      </c>
      <c r="C83" s="84">
        <f t="shared" si="1"/>
        <v>0.38486118014627568</v>
      </c>
      <c r="D83" s="62">
        <f t="shared" si="2"/>
        <v>1.7112831072924828E-2</v>
      </c>
      <c r="E83" s="50">
        <f>(2*Table!$AC$16*0.147)/A83</f>
        <v>0.17865659371401518</v>
      </c>
      <c r="F83" s="50">
        <f t="shared" si="3"/>
        <v>0.35731318742803037</v>
      </c>
      <c r="G83" s="63">
        <f>IF((('Raw Data'!C83)/('Raw Data'!C$136)*100)&lt;0,0,('Raw Data'!C83)/('Raw Data'!C$136)*100)</f>
        <v>61.513881985372429</v>
      </c>
      <c r="H83" s="63">
        <f t="shared" si="4"/>
        <v>1.7112831072924806</v>
      </c>
      <c r="I83" s="36">
        <f t="shared" si="5"/>
        <v>3.8792382541007142E-2</v>
      </c>
      <c r="J83" s="50">
        <f>'Raw Data'!F83/I83</f>
        <v>0.441138954402581</v>
      </c>
      <c r="K83" s="24">
        <f t="shared" si="6"/>
        <v>0.90155515021145316</v>
      </c>
      <c r="L83" s="63">
        <f>A83*Table!$AC$9/$AC$16</f>
        <v>115.19306157232275</v>
      </c>
      <c r="M83" s="63">
        <f>A83*Table!$AD$9/$AC$16</f>
        <v>39.494763967653512</v>
      </c>
      <c r="N83" s="63">
        <f>ABS(A83*Table!$AE$9/$AC$16)</f>
        <v>49.880058830668254</v>
      </c>
      <c r="O83" s="63">
        <f>($L83*(Table!$AC$10/Table!$AC$9)/(Table!$AC$12-Table!$AC$14))</f>
        <v>247.08936416199651</v>
      </c>
      <c r="P83" s="63">
        <f>ROUND(($N83*(Table!$AE$10/Table!$AE$9)/(Table!$AC$12-Table!$AC$13)),2)</f>
        <v>409.52</v>
      </c>
      <c r="Q83" s="63">
        <f>'Raw Data'!C83</f>
        <v>0.86629999999999996</v>
      </c>
      <c r="R83" s="63">
        <f>'Raw Data'!C83/'Raw Data'!I$30*100</f>
        <v>7.8904107515202506</v>
      </c>
      <c r="S83" s="10">
        <f t="shared" si="7"/>
        <v>0.23398058252427226</v>
      </c>
      <c r="T83" s="10">
        <f t="shared" si="8"/>
        <v>1.2007248783068247E-2</v>
      </c>
      <c r="U83" s="41">
        <f t="shared" si="9"/>
        <v>1.5380203987505598E-2</v>
      </c>
      <c r="V83" s="41">
        <f t="shared" si="10"/>
        <v>0.34286708824271561</v>
      </c>
      <c r="W83" s="41">
        <f t="shared" si="11"/>
        <v>9.3352924915973711E-4</v>
      </c>
      <c r="X83" s="107">
        <f t="shared" si="12"/>
        <v>0.33407871984151444</v>
      </c>
      <c r="AS83" s="157"/>
      <c r="AT83" s="157"/>
    </row>
    <row r="84" spans="1:46" x14ac:dyDescent="0.2">
      <c r="A84" s="63">
        <v>561.31060791015625</v>
      </c>
      <c r="B84" s="84">
        <v>0.63196762053539723</v>
      </c>
      <c r="C84" s="84">
        <f t="shared" si="1"/>
        <v>0.36803237946460277</v>
      </c>
      <c r="D84" s="62">
        <f t="shared" si="2"/>
        <v>1.6828800681672917E-2</v>
      </c>
      <c r="E84" s="50">
        <f>(2*Table!$AC$16*0.147)/A84</f>
        <v>0.16328764141203261</v>
      </c>
      <c r="F84" s="50">
        <f t="shared" si="3"/>
        <v>0.32657528282406523</v>
      </c>
      <c r="G84" s="63">
        <f>IF((('Raw Data'!C84)/('Raw Data'!C$136)*100)&lt;0,0,('Raw Data'!C84)/('Raw Data'!C$136)*100)</f>
        <v>63.196762053539722</v>
      </c>
      <c r="H84" s="63">
        <f t="shared" si="4"/>
        <v>1.6828800681672931</v>
      </c>
      <c r="I84" s="36">
        <f t="shared" si="5"/>
        <v>3.9065733456473017E-2</v>
      </c>
      <c r="J84" s="50">
        <f>'Raw Data'!F84/I84</f>
        <v>0.43078163886065374</v>
      </c>
      <c r="K84" s="24">
        <f t="shared" si="6"/>
        <v>0.98641128495249608</v>
      </c>
      <c r="L84" s="63">
        <f>A84*Table!$AC$9/$AC$16</f>
        <v>126.03525791685215</v>
      </c>
      <c r="M84" s="63">
        <f>A84*Table!$AD$9/$AC$16</f>
        <v>43.21208842863502</v>
      </c>
      <c r="N84" s="63">
        <f>ABS(A84*Table!$AE$9/$AC$16)</f>
        <v>54.574867564258874</v>
      </c>
      <c r="O84" s="63">
        <f>($L84*(Table!$AC$10/Table!$AC$9)/(Table!$AC$12-Table!$AC$14))</f>
        <v>270.34589857754645</v>
      </c>
      <c r="P84" s="63">
        <f>ROUND(($N84*(Table!$AE$10/Table!$AE$9)/(Table!$AC$12-Table!$AC$13)),2)</f>
        <v>448.07</v>
      </c>
      <c r="Q84" s="63">
        <f>'Raw Data'!C84</f>
        <v>0.89</v>
      </c>
      <c r="R84" s="63">
        <f>'Raw Data'!C84/'Raw Data'!I$30*100</f>
        <v>8.1062744647962877</v>
      </c>
      <c r="S84" s="10">
        <f t="shared" si="7"/>
        <v>0.23009708737864054</v>
      </c>
      <c r="T84" s="10">
        <f t="shared" si="8"/>
        <v>9.7393027730463544E-3</v>
      </c>
      <c r="U84" s="41">
        <f t="shared" si="9"/>
        <v>1.4441691196567914E-2</v>
      </c>
      <c r="V84" s="41">
        <f t="shared" si="10"/>
        <v>0.30823860148948473</v>
      </c>
      <c r="W84" s="41">
        <f t="shared" si="11"/>
        <v>7.6688062616303055E-4</v>
      </c>
      <c r="X84" s="107">
        <f t="shared" si="12"/>
        <v>0.33484560046767747</v>
      </c>
      <c r="AS84" s="157"/>
      <c r="AT84" s="157"/>
    </row>
    <row r="85" spans="1:46" x14ac:dyDescent="0.2">
      <c r="A85" s="63">
        <v>613.4918212890625</v>
      </c>
      <c r="B85" s="84">
        <v>0.64801533764112751</v>
      </c>
      <c r="C85" s="84">
        <f t="shared" si="1"/>
        <v>0.35198466235887249</v>
      </c>
      <c r="D85" s="62">
        <f t="shared" si="2"/>
        <v>1.6047717105730275E-2</v>
      </c>
      <c r="E85" s="50">
        <f>(2*Table!$AC$16*0.147)/A85</f>
        <v>0.14939903367027607</v>
      </c>
      <c r="F85" s="50">
        <f t="shared" si="3"/>
        <v>0.29879806734055214</v>
      </c>
      <c r="G85" s="63">
        <f>IF((('Raw Data'!C85)/('Raw Data'!C$136)*100)&lt;0,0,('Raw Data'!C85)/('Raw Data'!C$136)*100)</f>
        <v>64.801533764112747</v>
      </c>
      <c r="H85" s="63">
        <f t="shared" si="4"/>
        <v>1.6047717105730257</v>
      </c>
      <c r="I85" s="36">
        <f t="shared" si="5"/>
        <v>3.8605527546578533E-2</v>
      </c>
      <c r="J85" s="50">
        <f>'Raw Data'!F85/I85</f>
        <v>0.41568444017163875</v>
      </c>
      <c r="K85" s="24">
        <f t="shared" si="6"/>
        <v>1.0781112047724792</v>
      </c>
      <c r="L85" s="63">
        <f>A85*Table!$AC$9/$AC$16</f>
        <v>137.75189500502458</v>
      </c>
      <c r="M85" s="63">
        <f>A85*Table!$AD$9/$AC$16</f>
        <v>47.229221144579853</v>
      </c>
      <c r="N85" s="63">
        <f>ABS(A85*Table!$AE$9/$AC$16)</f>
        <v>59.648320246898997</v>
      </c>
      <c r="O85" s="63">
        <f>($L85*(Table!$AC$10/Table!$AC$9)/(Table!$AC$12-Table!$AC$14))</f>
        <v>295.47811026388803</v>
      </c>
      <c r="P85" s="63">
        <f>ROUND(($N85*(Table!$AE$10/Table!$AE$9)/(Table!$AC$12-Table!$AC$13)),2)</f>
        <v>489.72</v>
      </c>
      <c r="Q85" s="63">
        <f>'Raw Data'!C85</f>
        <v>0.91259999999999997</v>
      </c>
      <c r="R85" s="63">
        <f>'Raw Data'!C85/'Raw Data'!I$30*100</f>
        <v>8.3121191871607767</v>
      </c>
      <c r="S85" s="10">
        <f t="shared" si="7"/>
        <v>0.21941747572815487</v>
      </c>
      <c r="T85" s="10">
        <f t="shared" si="8"/>
        <v>7.9288727223199018E-3</v>
      </c>
      <c r="U85" s="41">
        <f t="shared" si="9"/>
        <v>1.3548867154733114E-2</v>
      </c>
      <c r="V85" s="41">
        <f t="shared" si="10"/>
        <v>0.2767074439368794</v>
      </c>
      <c r="W85" s="41">
        <f t="shared" si="11"/>
        <v>6.1217671178693752E-4</v>
      </c>
      <c r="X85" s="107">
        <f t="shared" si="12"/>
        <v>0.3354577771794644</v>
      </c>
      <c r="AS85" s="157"/>
      <c r="AT85" s="157"/>
    </row>
    <row r="86" spans="1:46" x14ac:dyDescent="0.2">
      <c r="A86" s="63">
        <v>671.8355712890625</v>
      </c>
      <c r="B86" s="84">
        <v>0.66406305474685789</v>
      </c>
      <c r="C86" s="84">
        <f t="shared" si="1"/>
        <v>0.33593694525314211</v>
      </c>
      <c r="D86" s="62">
        <f t="shared" si="2"/>
        <v>1.6047717105730386E-2</v>
      </c>
      <c r="E86" s="50">
        <f>(2*Table!$AC$16*0.147)/A86</f>
        <v>0.13642487713078877</v>
      </c>
      <c r="F86" s="50">
        <f t="shared" si="3"/>
        <v>0.27284975426157754</v>
      </c>
      <c r="G86" s="63">
        <f>IF((('Raw Data'!C86)/('Raw Data'!C$136)*100)&lt;0,0,('Raw Data'!C86)/('Raw Data'!C$136)*100)</f>
        <v>66.406305474685794</v>
      </c>
      <c r="H86" s="63">
        <f t="shared" si="4"/>
        <v>1.604771710573047</v>
      </c>
      <c r="I86" s="36">
        <f t="shared" si="5"/>
        <v>3.9454217109056389E-2</v>
      </c>
      <c r="J86" s="50">
        <f>'Raw Data'!F86/I86</f>
        <v>0.40674275860987152</v>
      </c>
      <c r="K86" s="24">
        <f t="shared" si="6"/>
        <v>1.1806407714605522</v>
      </c>
      <c r="L86" s="63">
        <f>A86*Table!$AC$9/$AC$16</f>
        <v>150.85225241046189</v>
      </c>
      <c r="M86" s="63">
        <f>A86*Table!$AD$9/$AC$16</f>
        <v>51.720772255015504</v>
      </c>
      <c r="N86" s="63">
        <f>ABS(A86*Table!$AE$9/$AC$16)</f>
        <v>65.320941402781159</v>
      </c>
      <c r="O86" s="63">
        <f>($L86*(Table!$AC$10/Table!$AC$9)/(Table!$AC$12-Table!$AC$14))</f>
        <v>323.57840499884577</v>
      </c>
      <c r="P86" s="63">
        <f>ROUND(($N86*(Table!$AE$10/Table!$AE$9)/(Table!$AC$12-Table!$AC$13)),2)</f>
        <v>536.29999999999995</v>
      </c>
      <c r="Q86" s="63">
        <f>'Raw Data'!C86</f>
        <v>0.93520000000000003</v>
      </c>
      <c r="R86" s="63">
        <f>'Raw Data'!C86/'Raw Data'!I$30*100</f>
        <v>8.5179639095252675</v>
      </c>
      <c r="S86" s="10">
        <f t="shared" si="7"/>
        <v>0.2194174757281564</v>
      </c>
      <c r="T86" s="10">
        <f t="shared" si="8"/>
        <v>6.4192329970834683E-3</v>
      </c>
      <c r="U86" s="41">
        <f t="shared" si="9"/>
        <v>1.2678643813368952E-2</v>
      </c>
      <c r="V86" s="41">
        <f t="shared" si="10"/>
        <v>0.24732556080262927</v>
      </c>
      <c r="W86" s="41">
        <f t="shared" si="11"/>
        <v>5.1046782095074078E-4</v>
      </c>
      <c r="X86" s="107">
        <f t="shared" si="12"/>
        <v>0.33596824500041517</v>
      </c>
      <c r="AS86" s="157"/>
      <c r="AT86" s="157"/>
    </row>
    <row r="87" spans="1:46" x14ac:dyDescent="0.2">
      <c r="A87" s="63">
        <v>734.88519287109375</v>
      </c>
      <c r="B87" s="84">
        <v>0.67989774905914924</v>
      </c>
      <c r="C87" s="84">
        <f t="shared" si="1"/>
        <v>0.32010225094085076</v>
      </c>
      <c r="D87" s="62">
        <f t="shared" si="2"/>
        <v>1.5834694312291342E-2</v>
      </c>
      <c r="E87" s="50">
        <f>(2*Table!$AC$16*0.147)/A87</f>
        <v>0.12472027760842483</v>
      </c>
      <c r="F87" s="50">
        <f t="shared" si="3"/>
        <v>0.24944055521684966</v>
      </c>
      <c r="G87" s="63">
        <f>IF((('Raw Data'!C87)/('Raw Data'!C$136)*100)&lt;0,0,('Raw Data'!C87)/('Raw Data'!C$136)*100)</f>
        <v>67.989774905914928</v>
      </c>
      <c r="H87" s="63">
        <f t="shared" si="4"/>
        <v>1.5834694312291333</v>
      </c>
      <c r="I87" s="36">
        <f t="shared" si="5"/>
        <v>3.8956502458418196E-2</v>
      </c>
      <c r="J87" s="50">
        <f>'Raw Data'!F87/I87</f>
        <v>0.4064711489229082</v>
      </c>
      <c r="K87" s="24">
        <f t="shared" si="6"/>
        <v>1.2914401352424938</v>
      </c>
      <c r="L87" s="63">
        <f>A87*Table!$AC$9/$AC$16</f>
        <v>165.0092542658823</v>
      </c>
      <c r="M87" s="63">
        <f>A87*Table!$AD$9/$AC$16</f>
        <v>56.57460146258822</v>
      </c>
      <c r="N87" s="63">
        <f>ABS(A87*Table!$AE$9/$AC$16)</f>
        <v>71.451103026889911</v>
      </c>
      <c r="O87" s="63">
        <f>($L87*(Table!$AC$10/Table!$AC$9)/(Table!$AC$12-Table!$AC$14))</f>
        <v>353.94520434552192</v>
      </c>
      <c r="P87" s="63">
        <f>ROUND(($N87*(Table!$AE$10/Table!$AE$9)/(Table!$AC$12-Table!$AC$13)),2)</f>
        <v>586.63</v>
      </c>
      <c r="Q87" s="63">
        <f>'Raw Data'!C87</f>
        <v>0.95749999999999991</v>
      </c>
      <c r="R87" s="63">
        <f>'Raw Data'!C87/'Raw Data'!I$30*100</f>
        <v>8.7210761798229708</v>
      </c>
      <c r="S87" s="10">
        <f t="shared" si="7"/>
        <v>0.2165048543689311</v>
      </c>
      <c r="T87" s="10">
        <f t="shared" si="8"/>
        <v>5.1742691658006601E-3</v>
      </c>
      <c r="U87" s="41">
        <f t="shared" si="9"/>
        <v>1.1867263437096813E-2</v>
      </c>
      <c r="V87" s="41">
        <f t="shared" si="10"/>
        <v>0.22115651206263404</v>
      </c>
      <c r="W87" s="41">
        <f t="shared" si="11"/>
        <v>4.2097062199261107E-4</v>
      </c>
      <c r="X87" s="107">
        <f t="shared" si="12"/>
        <v>0.33638921562240776</v>
      </c>
      <c r="AS87" s="157"/>
      <c r="AT87" s="157"/>
    </row>
    <row r="88" spans="1:46" x14ac:dyDescent="0.2">
      <c r="A88" s="63">
        <v>804.34393310546875</v>
      </c>
      <c r="B88" s="84">
        <v>0.695093374991124</v>
      </c>
      <c r="C88" s="84">
        <f t="shared" si="1"/>
        <v>0.304906625008876</v>
      </c>
      <c r="D88" s="62">
        <f t="shared" si="2"/>
        <v>1.5195625931974766E-2</v>
      </c>
      <c r="E88" s="50">
        <f>(2*Table!$AC$16*0.147)/A88</f>
        <v>0.11395011697463188</v>
      </c>
      <c r="F88" s="50">
        <f t="shared" si="3"/>
        <v>0.22790023394926376</v>
      </c>
      <c r="G88" s="63">
        <f>IF((('Raw Data'!C88)/('Raw Data'!C$136)*100)&lt;0,0,('Raw Data'!C88)/('Raw Data'!C$136)*100)</f>
        <v>69.509337499112405</v>
      </c>
      <c r="H88" s="63">
        <f t="shared" si="4"/>
        <v>1.5195625931974774</v>
      </c>
      <c r="I88" s="36">
        <f t="shared" si="5"/>
        <v>3.9222293517176321E-2</v>
      </c>
      <c r="J88" s="50">
        <f>'Raw Data'!F88/I88</f>
        <v>0.38742318639067502</v>
      </c>
      <c r="K88" s="24">
        <f t="shared" si="6"/>
        <v>1.4135024733494872</v>
      </c>
      <c r="L88" s="63">
        <f>A88*Table!$AC$9/$AC$16</f>
        <v>180.60534334143438</v>
      </c>
      <c r="M88" s="63">
        <f>A88*Table!$AD$9/$AC$16</f>
        <v>61.921832002777506</v>
      </c>
      <c r="N88" s="63">
        <f>ABS(A88*Table!$AE$9/$AC$16)</f>
        <v>78.204407696446452</v>
      </c>
      <c r="O88" s="63">
        <f>($L88*(Table!$AC$10/Table!$AC$9)/(Table!$AC$12-Table!$AC$14))</f>
        <v>387.39884886622565</v>
      </c>
      <c r="P88" s="63">
        <f>ROUND(($N88*(Table!$AE$10/Table!$AE$9)/(Table!$AC$12-Table!$AC$13)),2)</f>
        <v>642.07000000000005</v>
      </c>
      <c r="Q88" s="63">
        <f>'Raw Data'!C88</f>
        <v>0.97889999999999999</v>
      </c>
      <c r="R88" s="63">
        <f>'Raw Data'!C88/'Raw Data'!I$30*100</f>
        <v>8.9159910939203204</v>
      </c>
      <c r="S88" s="10">
        <f t="shared" si="7"/>
        <v>0.2077669902912628</v>
      </c>
      <c r="T88" s="10">
        <f t="shared" si="8"/>
        <v>4.1769800994189143E-3</v>
      </c>
      <c r="U88" s="41">
        <f t="shared" si="9"/>
        <v>1.108479933390785E-2</v>
      </c>
      <c r="V88" s="41">
        <f t="shared" si="10"/>
        <v>0.19706416870278837</v>
      </c>
      <c r="W88" s="41">
        <f t="shared" si="11"/>
        <v>3.3722216503955324E-4</v>
      </c>
      <c r="X88" s="107">
        <f t="shared" si="12"/>
        <v>0.33672643778744732</v>
      </c>
      <c r="AS88" s="157"/>
      <c r="AT88" s="157"/>
    </row>
    <row r="89" spans="1:46" x14ac:dyDescent="0.2">
      <c r="A89" s="63">
        <v>879.191162109375</v>
      </c>
      <c r="B89" s="84">
        <v>0.70964993254278197</v>
      </c>
      <c r="C89" s="84">
        <f t="shared" si="1"/>
        <v>0.29035006745721803</v>
      </c>
      <c r="D89" s="62">
        <f t="shared" si="2"/>
        <v>1.4556557551657967E-2</v>
      </c>
      <c r="E89" s="50">
        <f>(2*Table!$AC$16*0.147)/A89</f>
        <v>0.10424932507886307</v>
      </c>
      <c r="F89" s="50">
        <f t="shared" si="3"/>
        <v>0.20849865015772615</v>
      </c>
      <c r="G89" s="63">
        <f>IF((('Raw Data'!C89)/('Raw Data'!C$136)*100)&lt;0,0,('Raw Data'!C89)/('Raw Data'!C$136)*100)</f>
        <v>70.964993254278198</v>
      </c>
      <c r="H89" s="63">
        <f t="shared" si="4"/>
        <v>1.4556557551657932</v>
      </c>
      <c r="I89" s="36">
        <f t="shared" si="5"/>
        <v>3.8641523351774176E-2</v>
      </c>
      <c r="J89" s="50">
        <f>'Raw Data'!F89/I89</f>
        <v>0.37670765252037147</v>
      </c>
      <c r="K89" s="24">
        <f t="shared" si="6"/>
        <v>1.5450341962430871</v>
      </c>
      <c r="L89" s="63">
        <f>A89*Table!$AC$9/$AC$16</f>
        <v>197.41134999609383</v>
      </c>
      <c r="M89" s="63">
        <f>A89*Table!$AD$9/$AC$16</f>
        <v>67.683891427232169</v>
      </c>
      <c r="N89" s="63">
        <f>ABS(A89*Table!$AE$9/$AC$16)</f>
        <v>85.48162204599916</v>
      </c>
      <c r="O89" s="63">
        <f>($L89*(Table!$AC$10/Table!$AC$9)/(Table!$AC$12-Table!$AC$14))</f>
        <v>423.44776918939056</v>
      </c>
      <c r="P89" s="63">
        <f>ROUND(($N89*(Table!$AE$10/Table!$AE$9)/(Table!$AC$12-Table!$AC$13)),2)</f>
        <v>701.82</v>
      </c>
      <c r="Q89" s="63">
        <f>'Raw Data'!C89</f>
        <v>0.99939999999999996</v>
      </c>
      <c r="R89" s="63">
        <f>'Raw Data'!C89/'Raw Data'!I$30*100</f>
        <v>9.1027086518173128</v>
      </c>
      <c r="S89" s="10">
        <f t="shared" si="7"/>
        <v>0.19902912621359148</v>
      </c>
      <c r="T89" s="10">
        <f t="shared" si="8"/>
        <v>3.3773703167822022E-3</v>
      </c>
      <c r="U89" s="41">
        <f t="shared" si="9"/>
        <v>1.0353503360950412E-2</v>
      </c>
      <c r="V89" s="41">
        <f t="shared" si="10"/>
        <v>0.17558425478729048</v>
      </c>
      <c r="W89" s="41">
        <f t="shared" si="11"/>
        <v>2.703791219389172E-4</v>
      </c>
      <c r="X89" s="107">
        <f t="shared" si="12"/>
        <v>0.33699681690938621</v>
      </c>
      <c r="AS89" s="157"/>
      <c r="AT89" s="157"/>
    </row>
    <row r="90" spans="1:46" x14ac:dyDescent="0.2">
      <c r="A90" s="63">
        <v>962.5634765625</v>
      </c>
      <c r="B90" s="84">
        <v>0.72456152808350482</v>
      </c>
      <c r="C90" s="84">
        <f t="shared" si="1"/>
        <v>0.27543847191649518</v>
      </c>
      <c r="D90" s="62">
        <f t="shared" si="2"/>
        <v>1.4911595540722855E-2</v>
      </c>
      <c r="E90" s="50">
        <f>(2*Table!$AC$16*0.147)/A90</f>
        <v>9.5219782899431879E-2</v>
      </c>
      <c r="F90" s="50">
        <f t="shared" si="3"/>
        <v>0.19043956579886376</v>
      </c>
      <c r="G90" s="63">
        <f>IF((('Raw Data'!C90)/('Raw Data'!C$136)*100)&lt;0,0,('Raw Data'!C90)/('Raw Data'!C$136)*100)</f>
        <v>72.456152808350481</v>
      </c>
      <c r="H90" s="63">
        <f t="shared" si="4"/>
        <v>1.4911595540722828</v>
      </c>
      <c r="I90" s="36">
        <f t="shared" si="5"/>
        <v>3.9346065035918421E-2</v>
      </c>
      <c r="J90" s="50">
        <f>'Raw Data'!F90/I90</f>
        <v>0.37898568833021262</v>
      </c>
      <c r="K90" s="24">
        <f t="shared" si="6"/>
        <v>1.6915473578869764</v>
      </c>
      <c r="L90" s="63">
        <f>A90*Table!$AC$9/$AC$16</f>
        <v>216.13155767994078</v>
      </c>
      <c r="M90" s="63">
        <f>A90*Table!$AD$9/$AC$16</f>
        <v>74.102248347408263</v>
      </c>
      <c r="N90" s="63">
        <f>ABS(A90*Table!$AE$9/$AC$16)</f>
        <v>93.587709755165207</v>
      </c>
      <c r="O90" s="63">
        <f>($L90*(Table!$AC$10/Table!$AC$9)/(Table!$AC$12-Table!$AC$14))</f>
        <v>463.60265482612789</v>
      </c>
      <c r="P90" s="63">
        <f>ROUND(($N90*(Table!$AE$10/Table!$AE$9)/(Table!$AC$12-Table!$AC$13)),2)</f>
        <v>768.37</v>
      </c>
      <c r="Q90" s="63">
        <f>'Raw Data'!C90</f>
        <v>1.0204</v>
      </c>
      <c r="R90" s="63">
        <f>'Raw Data'!C90/'Raw Data'!I$30*100</f>
        <v>9.2939802964922809</v>
      </c>
      <c r="S90" s="10">
        <f t="shared" si="7"/>
        <v>0.20388349514563109</v>
      </c>
      <c r="T90" s="10">
        <f t="shared" si="8"/>
        <v>2.6940074085248789E-3</v>
      </c>
      <c r="U90" s="41">
        <f t="shared" si="9"/>
        <v>9.6554466513552734E-3</v>
      </c>
      <c r="V90" s="41">
        <f t="shared" si="10"/>
        <v>0.15603533978136888</v>
      </c>
      <c r="W90" s="41">
        <f t="shared" si="11"/>
        <v>2.310715390336332E-4</v>
      </c>
      <c r="X90" s="107">
        <f t="shared" si="12"/>
        <v>0.33722788844841983</v>
      </c>
      <c r="AS90" s="157"/>
      <c r="AT90" s="157"/>
    </row>
    <row r="91" spans="1:46" x14ac:dyDescent="0.2">
      <c r="A91" s="63">
        <v>1048.7110595703125</v>
      </c>
      <c r="B91" s="84">
        <v>0.73791095647234239</v>
      </c>
      <c r="C91" s="84">
        <f t="shared" si="1"/>
        <v>0.26208904352765761</v>
      </c>
      <c r="D91" s="62">
        <f t="shared" si="2"/>
        <v>1.334942838883757E-2</v>
      </c>
      <c r="E91" s="50">
        <f>(2*Table!$AC$16*0.147)/A91</f>
        <v>8.7397843694675445E-2</v>
      </c>
      <c r="F91" s="50">
        <f t="shared" si="3"/>
        <v>0.17479568738935089</v>
      </c>
      <c r="G91" s="63">
        <f>IF((('Raw Data'!C91)/('Raw Data'!C$136)*100)&lt;0,0,('Raw Data'!C91)/('Raw Data'!C$136)*100)</f>
        <v>73.791095647234258</v>
      </c>
      <c r="H91" s="63">
        <f t="shared" si="4"/>
        <v>1.3349428388837765</v>
      </c>
      <c r="I91" s="36">
        <f t="shared" si="5"/>
        <v>3.7226469225356329E-2</v>
      </c>
      <c r="J91" s="50">
        <f>'Raw Data'!F91/I91</f>
        <v>0.35860044389450185</v>
      </c>
      <c r="K91" s="24">
        <f t="shared" si="6"/>
        <v>1.842937598607119</v>
      </c>
      <c r="L91" s="63">
        <f>A91*Table!$AC$9/$AC$16</f>
        <v>235.47491711461754</v>
      </c>
      <c r="M91" s="63">
        <f>A91*Table!$AD$9/$AC$16</f>
        <v>80.734257296440305</v>
      </c>
      <c r="N91" s="63">
        <f>ABS(A91*Table!$AE$9/$AC$16)</f>
        <v>101.96363008764695</v>
      </c>
      <c r="O91" s="63">
        <f>($L91*(Table!$AC$10/Table!$AC$9)/(Table!$AC$12-Table!$AC$14))</f>
        <v>505.09420230505702</v>
      </c>
      <c r="P91" s="63">
        <f>ROUND(($N91*(Table!$AE$10/Table!$AE$9)/(Table!$AC$12-Table!$AC$13)),2)</f>
        <v>837.14</v>
      </c>
      <c r="Q91" s="63">
        <f>'Raw Data'!C91</f>
        <v>1.0392000000000001</v>
      </c>
      <c r="R91" s="63">
        <f>'Raw Data'!C91/'Raw Data'!I$30*100</f>
        <v>9.46521395934416</v>
      </c>
      <c r="S91" s="10">
        <f t="shared" si="7"/>
        <v>0.18252427184465975</v>
      </c>
      <c r="T91" s="10">
        <f t="shared" si="8"/>
        <v>2.1786161854069341E-3</v>
      </c>
      <c r="U91" s="41">
        <f t="shared" si="9"/>
        <v>9.0255689333745889E-3</v>
      </c>
      <c r="V91" s="41">
        <f t="shared" si="10"/>
        <v>0.13921320216406477</v>
      </c>
      <c r="W91" s="41">
        <f t="shared" si="11"/>
        <v>1.7427378877500407E-4</v>
      </c>
      <c r="X91" s="107">
        <f t="shared" si="12"/>
        <v>0.33740216223719482</v>
      </c>
      <c r="AS91" s="157"/>
      <c r="AT91" s="157"/>
    </row>
    <row r="92" spans="1:46" x14ac:dyDescent="0.2">
      <c r="A92" s="63">
        <v>1148.220458984375</v>
      </c>
      <c r="B92" s="84">
        <v>0.75168643044805783</v>
      </c>
      <c r="C92" s="84">
        <f t="shared" si="1"/>
        <v>0.24831356955194217</v>
      </c>
      <c r="D92" s="62">
        <f t="shared" si="2"/>
        <v>1.3775473975715435E-2</v>
      </c>
      <c r="E92" s="50">
        <f>(2*Table!$AC$16*0.147)/A92</f>
        <v>7.9823595327916802E-2</v>
      </c>
      <c r="F92" s="50">
        <f t="shared" si="3"/>
        <v>0.1596471906558336</v>
      </c>
      <c r="G92" s="63">
        <f>IF((('Raw Data'!C92)/('Raw Data'!C$136)*100)&lt;0,0,('Raw Data'!C92)/('Raw Data'!C$136)*100)</f>
        <v>75.168643044805805</v>
      </c>
      <c r="H92" s="63">
        <f t="shared" si="4"/>
        <v>1.3775473975715471</v>
      </c>
      <c r="I92" s="36">
        <f t="shared" si="5"/>
        <v>3.9369432815122174E-2</v>
      </c>
      <c r="J92" s="50">
        <f>'Raw Data'!F92/I92</f>
        <v>0.34990277966169087</v>
      </c>
      <c r="K92" s="24">
        <f t="shared" si="6"/>
        <v>2.0178090390495695</v>
      </c>
      <c r="L92" s="63">
        <f>A92*Table!$AC$9/$AC$16</f>
        <v>257.81850486008528</v>
      </c>
      <c r="M92" s="63">
        <f>A92*Table!$AD$9/$AC$16</f>
        <v>88.394915952029251</v>
      </c>
      <c r="N92" s="63">
        <f>ABS(A92*Table!$AE$9/$AC$16)</f>
        <v>111.63868738727783</v>
      </c>
      <c r="O92" s="63">
        <f>($L92*(Table!$AC$10/Table!$AC$9)/(Table!$AC$12-Table!$AC$14))</f>
        <v>553.02124594612894</v>
      </c>
      <c r="P92" s="63">
        <f>ROUND(($N92*(Table!$AE$10/Table!$AE$9)/(Table!$AC$12-Table!$AC$13)),2)</f>
        <v>916.57</v>
      </c>
      <c r="Q92" s="63">
        <f>'Raw Data'!C92</f>
        <v>1.0586000000000002</v>
      </c>
      <c r="R92" s="63">
        <f>'Raw Data'!C92/'Raw Data'!I$30*100</f>
        <v>9.641912526329607</v>
      </c>
      <c r="S92" s="10">
        <f t="shared" si="7"/>
        <v>0.18834951456310731</v>
      </c>
      <c r="T92" s="10">
        <f t="shared" si="8"/>
        <v>1.734964604447109E-3</v>
      </c>
      <c r="U92" s="41">
        <f t="shared" si="9"/>
        <v>8.3972659177820961E-3</v>
      </c>
      <c r="V92" s="41">
        <f t="shared" si="10"/>
        <v>0.12322252255311696</v>
      </c>
      <c r="W92" s="41">
        <f t="shared" si="11"/>
        <v>1.5001582961026184E-4</v>
      </c>
      <c r="X92" s="107">
        <f t="shared" si="12"/>
        <v>0.3375521780668051</v>
      </c>
      <c r="AS92" s="157"/>
      <c r="AT92" s="157"/>
    </row>
    <row r="93" spans="1:46" x14ac:dyDescent="0.2">
      <c r="A93" s="63">
        <v>1258.919677734375</v>
      </c>
      <c r="B93" s="84">
        <v>0.76347369168501023</v>
      </c>
      <c r="C93" s="84">
        <f t="shared" si="1"/>
        <v>0.23652630831498977</v>
      </c>
      <c r="D93" s="62">
        <f t="shared" si="2"/>
        <v>1.1787261236952395E-2</v>
      </c>
      <c r="E93" s="50">
        <f>(2*Table!$AC$16*0.147)/A93</f>
        <v>7.2804553686976636E-2</v>
      </c>
      <c r="F93" s="50">
        <f t="shared" si="3"/>
        <v>0.14560910737395327</v>
      </c>
      <c r="G93" s="63">
        <f>IF((('Raw Data'!C93)/('Raw Data'!C$136)*100)&lt;0,0,('Raw Data'!C93)/('Raw Data'!C$136)*100)</f>
        <v>76.347369168501032</v>
      </c>
      <c r="H93" s="63">
        <f t="shared" si="4"/>
        <v>1.1787261236952276</v>
      </c>
      <c r="I93" s="36">
        <f t="shared" si="5"/>
        <v>3.9972741046620186E-2</v>
      </c>
      <c r="J93" s="50">
        <f>'Raw Data'!F93/I93</f>
        <v>0.29488248562200947</v>
      </c>
      <c r="K93" s="24">
        <f t="shared" si="6"/>
        <v>2.2123447507778304</v>
      </c>
      <c r="L93" s="63">
        <f>A93*Table!$AC$9/$AC$16</f>
        <v>282.67462621203282</v>
      </c>
      <c r="M93" s="63">
        <f>A93*Table!$AD$9/$AC$16</f>
        <v>96.9170147012684</v>
      </c>
      <c r="N93" s="63">
        <f>ABS(A93*Table!$AE$9/$AC$16)</f>
        <v>122.40170365244551</v>
      </c>
      <c r="O93" s="63">
        <f>($L93*(Table!$AC$10/Table!$AC$9)/(Table!$AC$12-Table!$AC$14))</f>
        <v>606.33767956249005</v>
      </c>
      <c r="P93" s="63">
        <f>ROUND(($N93*(Table!$AE$10/Table!$AE$9)/(Table!$AC$12-Table!$AC$13)),2)</f>
        <v>1004.94</v>
      </c>
      <c r="Q93" s="63">
        <f>'Raw Data'!C93</f>
        <v>1.0752000000000002</v>
      </c>
      <c r="R93" s="63">
        <f>'Raw Data'!C93/'Raw Data'!I$30*100</f>
        <v>9.7931082073583919</v>
      </c>
      <c r="S93" s="10">
        <f t="shared" si="7"/>
        <v>0.16116504854368993</v>
      </c>
      <c r="T93" s="10">
        <f t="shared" si="8"/>
        <v>1.4191713059815703E-3</v>
      </c>
      <c r="U93" s="41">
        <f t="shared" si="9"/>
        <v>7.77897778592407E-3</v>
      </c>
      <c r="V93" s="41">
        <f t="shared" si="10"/>
        <v>0.10827367957622092</v>
      </c>
      <c r="W93" s="41">
        <f t="shared" si="11"/>
        <v>1.0678197866928891E-4</v>
      </c>
      <c r="X93" s="107">
        <f t="shared" si="12"/>
        <v>0.33765896004547441</v>
      </c>
      <c r="AS93" s="157"/>
      <c r="AT93" s="157"/>
    </row>
    <row r="94" spans="1:46" x14ac:dyDescent="0.2">
      <c r="A94" s="63">
        <v>1378.8270263671875</v>
      </c>
      <c r="B94" s="84">
        <v>0.77604203649790515</v>
      </c>
      <c r="C94" s="84">
        <f t="shared" si="1"/>
        <v>0.22395796350209485</v>
      </c>
      <c r="D94" s="62">
        <f t="shared" si="2"/>
        <v>1.2568344812894927E-2</v>
      </c>
      <c r="E94" s="50">
        <f>(2*Table!$AC$16*0.147)/A94</f>
        <v>6.6473229427978661E-2</v>
      </c>
      <c r="F94" s="50">
        <f t="shared" si="3"/>
        <v>0.13294645885595732</v>
      </c>
      <c r="G94" s="63">
        <f>IF((('Raw Data'!C94)/('Raw Data'!C$136)*100)&lt;0,0,('Raw Data'!C94)/('Raw Data'!C$136)*100)</f>
        <v>77.604203649790534</v>
      </c>
      <c r="H94" s="63">
        <f t="shared" si="4"/>
        <v>1.256834481289502</v>
      </c>
      <c r="I94" s="36">
        <f t="shared" si="5"/>
        <v>3.9511765515447994E-2</v>
      </c>
      <c r="J94" s="50">
        <f>'Raw Data'!F94/I94</f>
        <v>0.31809119762014093</v>
      </c>
      <c r="K94" s="24">
        <f t="shared" si="6"/>
        <v>2.4230622397640196</v>
      </c>
      <c r="L94" s="63">
        <f>A94*Table!$AC$9/$AC$16</f>
        <v>309.59831765504464</v>
      </c>
      <c r="M94" s="63">
        <f>A94*Table!$AD$9/$AC$16</f>
        <v>106.14799462458674</v>
      </c>
      <c r="N94" s="63">
        <f>ABS(A94*Table!$AE$9/$AC$16)</f>
        <v>134.06000402909646</v>
      </c>
      <c r="O94" s="63">
        <f>($L94*(Table!$AC$10/Table!$AC$9)/(Table!$AC$12-Table!$AC$14))</f>
        <v>664.08905545912626</v>
      </c>
      <c r="P94" s="63">
        <f>ROUND(($N94*(Table!$AE$10/Table!$AE$9)/(Table!$AC$12-Table!$AC$13)),2)</f>
        <v>1100.6600000000001</v>
      </c>
      <c r="Q94" s="63">
        <f>'Raw Data'!C94</f>
        <v>1.0929000000000002</v>
      </c>
      <c r="R94" s="63">
        <f>'Raw Data'!C94/'Raw Data'!I$30*100</f>
        <v>9.9543228792987222</v>
      </c>
      <c r="S94" s="10">
        <f t="shared" si="7"/>
        <v>0.17184466019417408</v>
      </c>
      <c r="T94" s="10">
        <f t="shared" si="8"/>
        <v>1.138469920139884E-3</v>
      </c>
      <c r="U94" s="41">
        <f t="shared" si="9"/>
        <v>7.2194138125690061E-3</v>
      </c>
      <c r="V94" s="41">
        <f t="shared" si="10"/>
        <v>9.5433240209419623E-2</v>
      </c>
      <c r="W94" s="41">
        <f t="shared" si="11"/>
        <v>9.4916040147267805E-5</v>
      </c>
      <c r="X94" s="107">
        <f t="shared" si="12"/>
        <v>0.33775387608562168</v>
      </c>
      <c r="AS94" s="157"/>
      <c r="AT94" s="157"/>
    </row>
    <row r="95" spans="1:46" x14ac:dyDescent="0.2">
      <c r="A95" s="63">
        <v>1508.72509765625</v>
      </c>
      <c r="B95" s="84">
        <v>0.78790030533267053</v>
      </c>
      <c r="C95" s="84">
        <f t="shared" si="1"/>
        <v>0.21209969466732947</v>
      </c>
      <c r="D95" s="62">
        <f t="shared" si="2"/>
        <v>1.1858268834765373E-2</v>
      </c>
      <c r="E95" s="50">
        <f>(2*Table!$AC$16*0.147)/A95</f>
        <v>6.0750023584539362E-2</v>
      </c>
      <c r="F95" s="50">
        <f t="shared" si="3"/>
        <v>0.12150004716907872</v>
      </c>
      <c r="G95" s="63">
        <f>IF((('Raw Data'!C95)/('Raw Data'!C$136)*100)&lt;0,0,('Raw Data'!C95)/('Raw Data'!C$136)*100)</f>
        <v>78.790030533267057</v>
      </c>
      <c r="H95" s="63">
        <f t="shared" si="4"/>
        <v>1.1858268834765227</v>
      </c>
      <c r="I95" s="36">
        <f t="shared" si="5"/>
        <v>3.9100327474736574E-2</v>
      </c>
      <c r="J95" s="50">
        <f>'Raw Data'!F95/I95</f>
        <v>0.30327799281034135</v>
      </c>
      <c r="K95" s="24">
        <f t="shared" si="6"/>
        <v>2.6513367843876341</v>
      </c>
      <c r="L95" s="63">
        <f>A95*Table!$AC$9/$AC$16</f>
        <v>338.76530058232811</v>
      </c>
      <c r="M95" s="63">
        <f>A95*Table!$AD$9/$AC$16</f>
        <v>116.14810305679822</v>
      </c>
      <c r="N95" s="63">
        <f>ABS(A95*Table!$AE$9/$AC$16)</f>
        <v>146.68967811248373</v>
      </c>
      <c r="O95" s="63">
        <f>($L95*(Table!$AC$10/Table!$AC$9)/(Table!$AC$12-Table!$AC$14))</f>
        <v>726.65229640139023</v>
      </c>
      <c r="P95" s="63">
        <f>ROUND(($N95*(Table!$AE$10/Table!$AE$9)/(Table!$AC$12-Table!$AC$13)),2)</f>
        <v>1204.3499999999999</v>
      </c>
      <c r="Q95" s="63">
        <f>'Raw Data'!C95</f>
        <v>1.1095999999999999</v>
      </c>
      <c r="R95" s="63">
        <f>'Raw Data'!C95/'Raw Data'!I$30*100</f>
        <v>10.106429377683099</v>
      </c>
      <c r="S95" s="10">
        <f t="shared" si="7"/>
        <v>0.16213592233009785</v>
      </c>
      <c r="T95" s="10">
        <f t="shared" si="8"/>
        <v>9.1726890963106378E-4</v>
      </c>
      <c r="U95" s="41">
        <f t="shared" si="9"/>
        <v>6.6986553039934662E-3</v>
      </c>
      <c r="V95" s="41">
        <f t="shared" si="10"/>
        <v>8.4084893632348154E-2</v>
      </c>
      <c r="W95" s="41">
        <f t="shared" si="11"/>
        <v>7.4796652432304817E-5</v>
      </c>
      <c r="X95" s="107">
        <f t="shared" si="12"/>
        <v>0.337828672738054</v>
      </c>
      <c r="Z95" s="65"/>
      <c r="AS95" s="157"/>
      <c r="AT95" s="157"/>
    </row>
    <row r="96" spans="1:46" x14ac:dyDescent="0.2">
      <c r="A96" s="63">
        <v>1646.81640625</v>
      </c>
      <c r="B96" s="84">
        <v>0.79940353617837101</v>
      </c>
      <c r="C96" s="84">
        <f t="shared" si="1"/>
        <v>0.20059646382162899</v>
      </c>
      <c r="D96" s="62">
        <f t="shared" si="2"/>
        <v>1.1503230845700485E-2</v>
      </c>
      <c r="E96" s="50">
        <f>(2*Table!$AC$16*0.147)/A96</f>
        <v>5.5655921885010451E-2</v>
      </c>
      <c r="F96" s="50">
        <f t="shared" si="3"/>
        <v>0.1113118437700209</v>
      </c>
      <c r="G96" s="63">
        <f>IF((('Raw Data'!C96)/('Raw Data'!C$136)*100)&lt;0,0,('Raw Data'!C96)/('Raw Data'!C$136)*100)</f>
        <v>79.940353617837104</v>
      </c>
      <c r="H96" s="63">
        <f t="shared" si="4"/>
        <v>1.1503230845700472</v>
      </c>
      <c r="I96" s="36">
        <f t="shared" si="5"/>
        <v>3.8035070070502552E-2</v>
      </c>
      <c r="J96" s="50">
        <f>'Raw Data'!F96/I96</f>
        <v>0.30243748268053328</v>
      </c>
      <c r="K96" s="24">
        <f t="shared" si="6"/>
        <v>2.894009599102255</v>
      </c>
      <c r="L96" s="63">
        <f>A96*Table!$AC$9/$AC$16</f>
        <v>369.77197219947072</v>
      </c>
      <c r="M96" s="63">
        <f>A96*Table!$AD$9/$AC$16</f>
        <v>126.77896189696139</v>
      </c>
      <c r="N96" s="63">
        <f>ABS(A96*Table!$AE$9/$AC$16)</f>
        <v>160.11596076610743</v>
      </c>
      <c r="O96" s="63">
        <f>($L96*(Table!$AC$10/Table!$AC$9)/(Table!$AC$12-Table!$AC$14))</f>
        <v>793.16167352953835</v>
      </c>
      <c r="P96" s="63">
        <f>ROUND(($N96*(Table!$AE$10/Table!$AE$9)/(Table!$AC$12-Table!$AC$13)),2)</f>
        <v>1314.58</v>
      </c>
      <c r="Q96" s="63">
        <f>'Raw Data'!C96</f>
        <v>1.1257999999999999</v>
      </c>
      <c r="R96" s="63">
        <f>'Raw Data'!C96/'Raw Data'!I$30*100</f>
        <v>10.253981789289504</v>
      </c>
      <c r="S96" s="10">
        <f t="shared" si="7"/>
        <v>0.15728155339805824</v>
      </c>
      <c r="T96" s="10">
        <f t="shared" si="8"/>
        <v>7.3716816440017041E-4</v>
      </c>
      <c r="U96" s="41">
        <f t="shared" si="9"/>
        <v>6.2265482359621744E-3</v>
      </c>
      <c r="V96" s="41">
        <f t="shared" si="10"/>
        <v>7.4309643214821572E-2</v>
      </c>
      <c r="W96" s="41">
        <f t="shared" si="11"/>
        <v>6.0899056531675047E-5</v>
      </c>
      <c r="X96" s="107">
        <f t="shared" si="12"/>
        <v>0.33788957179458567</v>
      </c>
      <c r="Z96" s="17"/>
      <c r="AS96" s="157"/>
      <c r="AT96" s="157"/>
    </row>
    <row r="97" spans="1:46" x14ac:dyDescent="0.2">
      <c r="A97" s="63">
        <v>1809.461669921875</v>
      </c>
      <c r="B97" s="84">
        <v>0.81055172903500661</v>
      </c>
      <c r="C97" s="84">
        <f t="shared" si="1"/>
        <v>0.18944827096499339</v>
      </c>
      <c r="D97" s="62">
        <f t="shared" si="2"/>
        <v>1.1148192856635597E-2</v>
      </c>
      <c r="E97" s="50">
        <f>(2*Table!$AC$16*0.147)/A97</f>
        <v>5.0653233936235255E-2</v>
      </c>
      <c r="F97" s="50">
        <f t="shared" si="3"/>
        <v>0.10130646787247051</v>
      </c>
      <c r="G97" s="63">
        <f>IF((('Raw Data'!C97)/('Raw Data'!C$136)*100)&lt;0,0,('Raw Data'!C97)/('Raw Data'!C$136)*100)</f>
        <v>81.055172903500676</v>
      </c>
      <c r="H97" s="63">
        <f t="shared" si="4"/>
        <v>1.1148192856635717</v>
      </c>
      <c r="I97" s="36">
        <f t="shared" si="5"/>
        <v>4.0904202857274807E-2</v>
      </c>
      <c r="J97" s="50">
        <f>'Raw Data'!F97/I97</f>
        <v>0.2725439460471753</v>
      </c>
      <c r="K97" s="24">
        <f t="shared" si="6"/>
        <v>3.179831960677312</v>
      </c>
      <c r="L97" s="63">
        <f>A97*Table!$AC$9/$AC$16</f>
        <v>406.29192651168336</v>
      </c>
      <c r="M97" s="63">
        <f>A97*Table!$AD$9/$AC$16</f>
        <v>139.30008908971999</v>
      </c>
      <c r="N97" s="63">
        <f>ABS(A97*Table!$AE$9/$AC$16)</f>
        <v>175.92956485581902</v>
      </c>
      <c r="O97" s="63">
        <f>($L97*(Table!$AC$10/Table!$AC$9)/(Table!$AC$12-Table!$AC$14))</f>
        <v>871.49705386461471</v>
      </c>
      <c r="P97" s="63">
        <f>ROUND(($N97*(Table!$AE$10/Table!$AE$9)/(Table!$AC$12-Table!$AC$13)),2)</f>
        <v>1444.41</v>
      </c>
      <c r="Q97" s="63">
        <f>'Raw Data'!C97</f>
        <v>1.1415000000000002</v>
      </c>
      <c r="R97" s="63">
        <f>'Raw Data'!C97/'Raw Data'!I$30*100</f>
        <v>10.396980114117936</v>
      </c>
      <c r="S97" s="10">
        <f t="shared" si="7"/>
        <v>0.15242718446601861</v>
      </c>
      <c r="T97" s="10">
        <f t="shared" si="8"/>
        <v>5.9259365007913178E-4</v>
      </c>
      <c r="U97" s="41">
        <f t="shared" si="9"/>
        <v>5.7458968526074572E-3</v>
      </c>
      <c r="V97" s="41">
        <f t="shared" si="10"/>
        <v>6.4870460156865165E-2</v>
      </c>
      <c r="W97" s="41">
        <f t="shared" si="11"/>
        <v>4.888625812951904E-5</v>
      </c>
      <c r="X97" s="107">
        <f t="shared" si="12"/>
        <v>0.33793845805271522</v>
      </c>
      <c r="Z97" s="84"/>
      <c r="AS97" s="157"/>
      <c r="AT97" s="157"/>
    </row>
    <row r="98" spans="1:46" x14ac:dyDescent="0.2">
      <c r="A98" s="63">
        <v>1977.94140625</v>
      </c>
      <c r="B98" s="84">
        <v>0.82091883831569967</v>
      </c>
      <c r="C98" s="84">
        <f t="shared" si="1"/>
        <v>0.17908116168430033</v>
      </c>
      <c r="D98" s="62">
        <f t="shared" si="2"/>
        <v>1.0367109280693065E-2</v>
      </c>
      <c r="E98" s="50">
        <f>(2*Table!$AC$16*0.147)/A98</f>
        <v>4.6338625085448552E-2</v>
      </c>
      <c r="F98" s="50">
        <f t="shared" si="3"/>
        <v>9.2677250170897105E-2</v>
      </c>
      <c r="G98" s="63">
        <f>IF((('Raw Data'!C98)/('Raw Data'!C$136)*100)&lt;0,0,('Raw Data'!C98)/('Raw Data'!C$136)*100)</f>
        <v>82.091883831569973</v>
      </c>
      <c r="H98" s="63">
        <f t="shared" si="4"/>
        <v>1.0367109280692972</v>
      </c>
      <c r="I98" s="36">
        <f t="shared" si="5"/>
        <v>3.8664034263347524E-2</v>
      </c>
      <c r="J98" s="50">
        <f>'Raw Data'!F98/I98</f>
        <v>0.26813314953324946</v>
      </c>
      <c r="K98" s="24">
        <f t="shared" si="6"/>
        <v>3.4759074505360106</v>
      </c>
      <c r="L98" s="63">
        <f>A98*Table!$AC$9/$AC$16</f>
        <v>444.12193849192596</v>
      </c>
      <c r="M98" s="63">
        <f>A98*Table!$AD$9/$AC$16</f>
        <v>152.27037891151747</v>
      </c>
      <c r="N98" s="63">
        <f>ABS(A98*Table!$AE$9/$AC$16)</f>
        <v>192.31044055599892</v>
      </c>
      <c r="O98" s="63">
        <f>($L98*(Table!$AC$10/Table!$AC$9)/(Table!$AC$12-Table!$AC$14))</f>
        <v>952.64251070769194</v>
      </c>
      <c r="P98" s="63">
        <f>ROUND(($N98*(Table!$AE$10/Table!$AE$9)/(Table!$AC$12-Table!$AC$13)),2)</f>
        <v>1578.9</v>
      </c>
      <c r="Q98" s="63">
        <f>'Raw Data'!C98</f>
        <v>1.1560999999999999</v>
      </c>
      <c r="R98" s="63">
        <f>'Raw Data'!C98/'Raw Data'!I$30*100</f>
        <v>10.529959448034816</v>
      </c>
      <c r="S98" s="10">
        <f t="shared" si="7"/>
        <v>0.14174757281553446</v>
      </c>
      <c r="T98" s="10">
        <f t="shared" si="8"/>
        <v>4.8007697842089581E-4</v>
      </c>
      <c r="U98" s="41">
        <f t="shared" si="9"/>
        <v>5.3236963515510185E-3</v>
      </c>
      <c r="V98" s="41">
        <f t="shared" si="10"/>
        <v>5.7016367677437008E-2</v>
      </c>
      <c r="W98" s="41">
        <f t="shared" si="11"/>
        <v>3.8046256495415817E-5</v>
      </c>
      <c r="X98" s="107">
        <f t="shared" si="12"/>
        <v>0.33797650430921061</v>
      </c>
      <c r="Z98" s="84"/>
      <c r="AS98" s="157"/>
      <c r="AT98" s="157"/>
    </row>
    <row r="99" spans="1:46" x14ac:dyDescent="0.2">
      <c r="A99" s="63">
        <v>2157.510009765625</v>
      </c>
      <c r="B99" s="84">
        <v>0.83100191720514083</v>
      </c>
      <c r="C99" s="84">
        <f t="shared" si="1"/>
        <v>0.16899808279485917</v>
      </c>
      <c r="D99" s="62">
        <f t="shared" si="2"/>
        <v>1.0083078889441155E-2</v>
      </c>
      <c r="E99" s="50">
        <f>(2*Table!$AC$16*0.147)/A99</f>
        <v>4.2481881822258767E-2</v>
      </c>
      <c r="F99" s="50">
        <f t="shared" si="3"/>
        <v>8.4963763644517534E-2</v>
      </c>
      <c r="G99" s="63">
        <f>IF((('Raw Data'!C99)/('Raw Data'!C$136)*100)&lt;0,0,('Raw Data'!C99)/('Raw Data'!C$136)*100)</f>
        <v>83.10019172051409</v>
      </c>
      <c r="H99" s="63">
        <f t="shared" si="4"/>
        <v>1.0083078889441168</v>
      </c>
      <c r="I99" s="36">
        <f t="shared" si="5"/>
        <v>3.7739397216141057E-2</v>
      </c>
      <c r="J99" s="50">
        <f>'Raw Data'!F99/I99</f>
        <v>0.26717646897467551</v>
      </c>
      <c r="K99" s="24">
        <f t="shared" si="6"/>
        <v>3.7914698048454176</v>
      </c>
      <c r="L99" s="63">
        <f>A99*Table!$AC$9/$AC$16</f>
        <v>484.44181653970242</v>
      </c>
      <c r="M99" s="63">
        <f>A99*Table!$AD$9/$AC$16</f>
        <v>166.09433709932654</v>
      </c>
      <c r="N99" s="63">
        <f>ABS(A99*Table!$AE$9/$AC$16)</f>
        <v>209.76945988943137</v>
      </c>
      <c r="O99" s="63">
        <f>($L99*(Table!$AC$10/Table!$AC$9)/(Table!$AC$12-Table!$AC$14))</f>
        <v>1039.1287356063974</v>
      </c>
      <c r="P99" s="63">
        <f>ROUND(($N99*(Table!$AE$10/Table!$AE$9)/(Table!$AC$12-Table!$AC$13)),2)</f>
        <v>1722.25</v>
      </c>
      <c r="Q99" s="63">
        <f>'Raw Data'!C99</f>
        <v>1.1703000000000001</v>
      </c>
      <c r="R99" s="63">
        <f>'Raw Data'!C99/'Raw Data'!I$30*100</f>
        <v>10.659295512529321</v>
      </c>
      <c r="S99" s="10">
        <f t="shared" si="7"/>
        <v>0.13786407766990275</v>
      </c>
      <c r="T99" s="10">
        <f t="shared" si="8"/>
        <v>3.8810117904553021E-4</v>
      </c>
      <c r="U99" s="41">
        <f t="shared" si="9"/>
        <v>4.9405543725320944E-3</v>
      </c>
      <c r="V99" s="41">
        <f t="shared" si="10"/>
        <v>5.0251331771689264E-2</v>
      </c>
      <c r="W99" s="41">
        <f t="shared" si="11"/>
        <v>3.1100589831161503E-5</v>
      </c>
      <c r="X99" s="107">
        <f t="shared" si="12"/>
        <v>0.33800760489904175</v>
      </c>
      <c r="Z99" s="84"/>
      <c r="AS99" s="157"/>
      <c r="AT99" s="157"/>
    </row>
    <row r="100" spans="1:46" x14ac:dyDescent="0.2">
      <c r="A100" s="63">
        <v>2367.6796875</v>
      </c>
      <c r="B100" s="84">
        <v>0.84094298089895603</v>
      </c>
      <c r="C100" s="84">
        <f t="shared" si="1"/>
        <v>0.15905701910104397</v>
      </c>
      <c r="D100" s="62">
        <f t="shared" si="2"/>
        <v>9.9410636938151997E-3</v>
      </c>
      <c r="E100" s="50">
        <f>(2*Table!$AC$16*0.147)/A100</f>
        <v>3.8710931106555622E-2</v>
      </c>
      <c r="F100" s="50">
        <f t="shared" si="3"/>
        <v>7.7421862213111245E-2</v>
      </c>
      <c r="G100" s="63">
        <f>IF((('Raw Data'!C100)/('Raw Data'!C$136)*100)&lt;0,0,('Raw Data'!C100)/('Raw Data'!C$136)*100)</f>
        <v>84.094298089895602</v>
      </c>
      <c r="H100" s="63">
        <f t="shared" si="4"/>
        <v>0.99410636938151242</v>
      </c>
      <c r="I100" s="36">
        <f t="shared" si="5"/>
        <v>4.037012902015169E-2</v>
      </c>
      <c r="J100" s="50">
        <f>'Raw Data'!F100/I100</f>
        <v>0.24624800403419012</v>
      </c>
      <c r="K100" s="24">
        <f t="shared" si="6"/>
        <v>4.1608085256008955</v>
      </c>
      <c r="L100" s="63">
        <f>A100*Table!$AC$9/$AC$16</f>
        <v>531.63278205196195</v>
      </c>
      <c r="M100" s="63">
        <f>A100*Table!$AD$9/$AC$16</f>
        <v>182.27409670352984</v>
      </c>
      <c r="N100" s="63">
        <f>ABS(A100*Table!$AE$9/$AC$16)</f>
        <v>230.20374737079746</v>
      </c>
      <c r="O100" s="63">
        <f>($L100*(Table!$AC$10/Table!$AC$9)/(Table!$AC$12-Table!$AC$14))</f>
        <v>1140.3534578549163</v>
      </c>
      <c r="P100" s="63">
        <f>ROUND(($N100*(Table!$AE$10/Table!$AE$9)/(Table!$AC$12-Table!$AC$13)),2)</f>
        <v>1890.01</v>
      </c>
      <c r="Q100" s="63">
        <f>'Raw Data'!C100</f>
        <v>1.1842999999999999</v>
      </c>
      <c r="R100" s="63">
        <f>'Raw Data'!C100/'Raw Data'!I$30*100</f>
        <v>10.786809942312631</v>
      </c>
      <c r="S100" s="10">
        <f t="shared" si="7"/>
        <v>0.1359223300970869</v>
      </c>
      <c r="T100" s="10">
        <f t="shared" si="8"/>
        <v>3.1280498854091565E-4</v>
      </c>
      <c r="U100" s="41">
        <f t="shared" si="9"/>
        <v>4.5558569426687413E-3</v>
      </c>
      <c r="V100" s="41">
        <f t="shared" si="10"/>
        <v>4.3814201209556293E-2</v>
      </c>
      <c r="W100" s="41">
        <f t="shared" si="11"/>
        <v>2.5460566286299594E-5</v>
      </c>
      <c r="X100" s="107">
        <f t="shared" si="12"/>
        <v>0.33803306546532802</v>
      </c>
      <c r="Z100" s="84"/>
      <c r="AS100" s="157"/>
      <c r="AT100" s="157"/>
    </row>
    <row r="101" spans="1:46" x14ac:dyDescent="0.2">
      <c r="A101" s="63">
        <v>2587.6376953125</v>
      </c>
      <c r="B101" s="84">
        <v>0.85045799900589358</v>
      </c>
      <c r="C101" s="84">
        <f t="shared" si="1"/>
        <v>0.14954200099410642</v>
      </c>
      <c r="D101" s="62">
        <f t="shared" si="2"/>
        <v>9.5150181069375561E-3</v>
      </c>
      <c r="E101" s="50">
        <f>(2*Table!$AC$16*0.147)/A101</f>
        <v>3.5420370259421026E-2</v>
      </c>
      <c r="F101" s="50">
        <f t="shared" si="3"/>
        <v>7.0840740518842052E-2</v>
      </c>
      <c r="G101" s="63">
        <f>IF((('Raw Data'!C101)/('Raw Data'!C$136)*100)&lt;0,0,('Raw Data'!C101)/('Raw Data'!C$136)*100)</f>
        <v>85.045799900589373</v>
      </c>
      <c r="H101" s="63">
        <f t="shared" si="4"/>
        <v>0.95150181069377027</v>
      </c>
      <c r="I101" s="36">
        <f t="shared" si="5"/>
        <v>3.8580520761770432E-2</v>
      </c>
      <c r="J101" s="50">
        <f>'Raw Data'!F101/I101</f>
        <v>0.24662751873391328</v>
      </c>
      <c r="K101" s="24">
        <f t="shared" si="6"/>
        <v>4.5473486302494202</v>
      </c>
      <c r="L101" s="63">
        <f>A101*Table!$AC$9/$AC$16</f>
        <v>581.0215943331699</v>
      </c>
      <c r="M101" s="63">
        <f>A101*Table!$AD$9/$AC$16</f>
        <v>199.20740377137255</v>
      </c>
      <c r="N101" s="63">
        <f>ABS(A101*Table!$AE$9/$AC$16)</f>
        <v>251.58973041993093</v>
      </c>
      <c r="O101" s="63">
        <f>($L101*(Table!$AC$10/Table!$AC$9)/(Table!$AC$12-Table!$AC$14))</f>
        <v>1246.2925661372158</v>
      </c>
      <c r="P101" s="63">
        <f>ROUND(($N101*(Table!$AE$10/Table!$AE$9)/(Table!$AC$12-Table!$AC$13)),2)</f>
        <v>2065.6</v>
      </c>
      <c r="Q101" s="63">
        <f>'Raw Data'!C101</f>
        <v>1.1977000000000002</v>
      </c>
      <c r="R101" s="63">
        <f>'Raw Data'!C101/'Raw Data'!I$30*100</f>
        <v>10.908859467962376</v>
      </c>
      <c r="S101" s="10">
        <f t="shared" si="7"/>
        <v>0.13009708737864237</v>
      </c>
      <c r="T101" s="10">
        <f t="shared" si="8"/>
        <v>2.5246729214190022E-4</v>
      </c>
      <c r="U101" s="41">
        <f t="shared" si="9"/>
        <v>4.215759991332539E-3</v>
      </c>
      <c r="V101" s="41">
        <f t="shared" si="10"/>
        <v>3.8427134929927394E-2</v>
      </c>
      <c r="W101" s="41">
        <f t="shared" si="11"/>
        <v>2.0402518486425007E-5</v>
      </c>
      <c r="X101" s="107">
        <f t="shared" si="12"/>
        <v>0.33805346798381447</v>
      </c>
      <c r="Z101" s="84"/>
      <c r="AS101" s="157"/>
      <c r="AT101" s="157"/>
    </row>
    <row r="102" spans="1:46" x14ac:dyDescent="0.2">
      <c r="A102" s="63">
        <v>2827.42529296875</v>
      </c>
      <c r="B102" s="84">
        <v>0.85933394873251423</v>
      </c>
      <c r="C102" s="84">
        <f t="shared" si="1"/>
        <v>0.14066605126748577</v>
      </c>
      <c r="D102" s="62">
        <f t="shared" si="2"/>
        <v>8.8759497266206466E-3</v>
      </c>
      <c r="E102" s="50">
        <f>(2*Table!$AC$16*0.147)/A102</f>
        <v>3.2416448099665721E-2</v>
      </c>
      <c r="F102" s="50">
        <f t="shared" si="3"/>
        <v>6.4832896199331441E-2</v>
      </c>
      <c r="G102" s="63">
        <f>IF((('Raw Data'!C102)/('Raw Data'!C$136)*100)&lt;0,0,('Raw Data'!C102)/('Raw Data'!C$136)*100)</f>
        <v>85.933394873251416</v>
      </c>
      <c r="H102" s="63">
        <f t="shared" si="4"/>
        <v>0.88759497266204335</v>
      </c>
      <c r="I102" s="36">
        <f t="shared" si="5"/>
        <v>3.848766961470651E-2</v>
      </c>
      <c r="J102" s="50">
        <f>'Raw Data'!F102/I102</f>
        <v>0.2306180087148989</v>
      </c>
      <c r="K102" s="24">
        <f t="shared" si="6"/>
        <v>4.9687359851052415</v>
      </c>
      <c r="L102" s="63">
        <f>A102*Table!$AC$9/$AC$16</f>
        <v>634.86289234174978</v>
      </c>
      <c r="M102" s="63">
        <f>A102*Table!$AD$9/$AC$16</f>
        <v>217.66727737431421</v>
      </c>
      <c r="N102" s="63">
        <f>ABS(A102*Table!$AE$9/$AC$16)</f>
        <v>274.90369634401026</v>
      </c>
      <c r="O102" s="63">
        <f>($L102*(Table!$AC$10/Table!$AC$9)/(Table!$AC$12-Table!$AC$14))</f>
        <v>1361.7822658553193</v>
      </c>
      <c r="P102" s="63">
        <f>ROUND(($N102*(Table!$AE$10/Table!$AE$9)/(Table!$AC$12-Table!$AC$13)),2)</f>
        <v>2257.0100000000002</v>
      </c>
      <c r="Q102" s="63">
        <f>'Raw Data'!C102</f>
        <v>1.2101999999999999</v>
      </c>
      <c r="R102" s="63">
        <f>'Raw Data'!C102/'Raw Data'!I$30*100</f>
        <v>11.022711637411758</v>
      </c>
      <c r="S102" s="10">
        <f t="shared" si="7"/>
        <v>0.12135922330096952</v>
      </c>
      <c r="T102" s="10">
        <f t="shared" si="8"/>
        <v>2.0532414180274294E-4</v>
      </c>
      <c r="U102" s="41">
        <f t="shared" si="9"/>
        <v>3.8984979248870241E-3</v>
      </c>
      <c r="V102" s="41">
        <f t="shared" si="10"/>
        <v>3.3665125861978437E-2</v>
      </c>
      <c r="W102" s="41">
        <f t="shared" si="11"/>
        <v>1.5940930027280181E-5</v>
      </c>
      <c r="X102" s="107">
        <f t="shared" si="12"/>
        <v>0.33806940891384174</v>
      </c>
      <c r="Z102" s="84"/>
      <c r="AS102" s="157"/>
      <c r="AT102" s="157"/>
    </row>
    <row r="103" spans="1:46" x14ac:dyDescent="0.2">
      <c r="A103" s="63">
        <v>3097.25341796875</v>
      </c>
      <c r="B103" s="84">
        <v>0.86856493644819999</v>
      </c>
      <c r="C103" s="84">
        <f t="shared" si="1"/>
        <v>0.13143506355180001</v>
      </c>
      <c r="D103" s="62">
        <f t="shared" si="2"/>
        <v>9.2309877156857567E-3</v>
      </c>
      <c r="E103" s="50">
        <f>(2*Table!$AC$16*0.147)/A103</f>
        <v>2.9592375210070201E-2</v>
      </c>
      <c r="F103" s="50">
        <f t="shared" si="3"/>
        <v>5.9184750420140403E-2</v>
      </c>
      <c r="G103" s="63">
        <f>IF((('Raw Data'!C103)/('Raw Data'!C$136)*100)&lt;0,0,('Raw Data'!C103)/('Raw Data'!C$136)*100)</f>
        <v>86.856493644820006</v>
      </c>
      <c r="H103" s="63">
        <f t="shared" si="4"/>
        <v>0.92309877156858988</v>
      </c>
      <c r="I103" s="36">
        <f t="shared" si="5"/>
        <v>3.9585602185020274E-2</v>
      </c>
      <c r="J103" s="50">
        <f>'Raw Data'!F103/I103</f>
        <v>0.23319053408713833</v>
      </c>
      <c r="K103" s="24">
        <f t="shared" si="6"/>
        <v>5.442914637257446</v>
      </c>
      <c r="L103" s="63">
        <f>A103*Table!$AC$9/$AC$16</f>
        <v>695.44941404354336</v>
      </c>
      <c r="M103" s="63">
        <f>A103*Table!$AD$9/$AC$16</f>
        <v>238.43979910064343</v>
      </c>
      <c r="N103" s="63">
        <f>ABS(A103*Table!$AE$9/$AC$16)</f>
        <v>301.13842980435544</v>
      </c>
      <c r="O103" s="63">
        <f>($L103*(Table!$AC$10/Table!$AC$9)/(Table!$AC$12-Table!$AC$14))</f>
        <v>1491.7404848638855</v>
      </c>
      <c r="P103" s="63">
        <f>ROUND(($N103*(Table!$AE$10/Table!$AE$9)/(Table!$AC$12-Table!$AC$13)),2)</f>
        <v>2472.4</v>
      </c>
      <c r="Q103" s="63">
        <f>'Raw Data'!C103</f>
        <v>1.2232000000000003</v>
      </c>
      <c r="R103" s="63">
        <f>'Raw Data'!C103/'Raw Data'!I$30*100</f>
        <v>11.141117893639125</v>
      </c>
      <c r="S103" s="10">
        <f t="shared" si="7"/>
        <v>0.12621359223301218</v>
      </c>
      <c r="T103" s="10">
        <f t="shared" si="8"/>
        <v>1.6446580013396161E-4</v>
      </c>
      <c r="U103" s="41">
        <f t="shared" si="9"/>
        <v>3.5970960041576856E-3</v>
      </c>
      <c r="V103" s="41">
        <f t="shared" si="10"/>
        <v>2.9382434503941544E-2</v>
      </c>
      <c r="W103" s="41">
        <f t="shared" si="11"/>
        <v>1.3815792132835836E-5</v>
      </c>
      <c r="X103" s="107">
        <f t="shared" si="12"/>
        <v>0.33808322470597457</v>
      </c>
      <c r="Z103" s="84"/>
      <c r="AS103" s="157"/>
      <c r="AT103" s="157"/>
    </row>
    <row r="104" spans="1:46" x14ac:dyDescent="0.2">
      <c r="A104" s="63">
        <v>3385.676513671875</v>
      </c>
      <c r="B104" s="84">
        <v>0.87729887097919479</v>
      </c>
      <c r="C104" s="84">
        <f t="shared" si="1"/>
        <v>0.12270112902080521</v>
      </c>
      <c r="D104" s="62">
        <f t="shared" si="2"/>
        <v>8.7339345309948024E-3</v>
      </c>
      <c r="E104" s="50">
        <f>(2*Table!$AC$16*0.147)/A104</f>
        <v>2.707142424714426E-2</v>
      </c>
      <c r="F104" s="50">
        <f t="shared" si="3"/>
        <v>5.414284849428852E-2</v>
      </c>
      <c r="G104" s="63">
        <f>IF((('Raw Data'!C104)/('Raw Data'!C$136)*100)&lt;0,0,('Raw Data'!C104)/('Raw Data'!C$136)*100)</f>
        <v>87.729887097919473</v>
      </c>
      <c r="H104" s="63">
        <f t="shared" si="4"/>
        <v>0.87339345309946737</v>
      </c>
      <c r="I104" s="36">
        <f t="shared" si="5"/>
        <v>3.8668719967128728E-2</v>
      </c>
      <c r="J104" s="50">
        <f>'Raw Data'!F104/I104</f>
        <v>0.22586562312947472</v>
      </c>
      <c r="K104" s="24">
        <f t="shared" si="6"/>
        <v>5.9497708990725338</v>
      </c>
      <c r="L104" s="63">
        <f>A104*Table!$AC$9/$AC$16</f>
        <v>760.21120322736499</v>
      </c>
      <c r="M104" s="63">
        <f>A104*Table!$AD$9/$AC$16</f>
        <v>260.64384110652514</v>
      </c>
      <c r="N104" s="63">
        <f>ABS(A104*Table!$AE$9/$AC$16)</f>
        <v>329.18110711821635</v>
      </c>
      <c r="O104" s="63">
        <f>($L104*(Table!$AC$10/Table!$AC$9)/(Table!$AC$12-Table!$AC$14))</f>
        <v>1630.6546615773595</v>
      </c>
      <c r="P104" s="63">
        <f>ROUND(($N104*(Table!$AE$10/Table!$AE$9)/(Table!$AC$12-Table!$AC$13)),2)</f>
        <v>2702.64</v>
      </c>
      <c r="Q104" s="63">
        <f>'Raw Data'!C104</f>
        <v>1.2355</v>
      </c>
      <c r="R104" s="63">
        <f>'Raw Data'!C104/'Raw Data'!I$30*100</f>
        <v>11.253148428377317</v>
      </c>
      <c r="S104" s="10">
        <f t="shared" si="7"/>
        <v>0.11941747572815518</v>
      </c>
      <c r="T104" s="10">
        <f t="shared" si="8"/>
        <v>1.3211350803821187E-4</v>
      </c>
      <c r="U104" s="41">
        <f t="shared" si="9"/>
        <v>3.3237518064515017E-3</v>
      </c>
      <c r="V104" s="41">
        <f t="shared" si="10"/>
        <v>2.5706729947287746E-2</v>
      </c>
      <c r="W104" s="41">
        <f t="shared" si="11"/>
        <v>1.0939566422884821E-5</v>
      </c>
      <c r="X104" s="107">
        <f t="shared" si="12"/>
        <v>0.33809416427239747</v>
      </c>
      <c r="Z104" s="84"/>
      <c r="AS104" s="157"/>
      <c r="AT104" s="157"/>
    </row>
    <row r="105" spans="1:46" x14ac:dyDescent="0.2">
      <c r="A105" s="63">
        <v>3706.512451171875</v>
      </c>
      <c r="B105" s="84">
        <v>0.88581978271675066</v>
      </c>
      <c r="C105" s="84">
        <f t="shared" si="1"/>
        <v>0.11418021728324934</v>
      </c>
      <c r="D105" s="62">
        <f t="shared" si="2"/>
        <v>8.5209117375558696E-3</v>
      </c>
      <c r="E105" s="50">
        <f>(2*Table!$AC$16*0.147)/A105</f>
        <v>2.4728120159484522E-2</v>
      </c>
      <c r="F105" s="50">
        <f t="shared" si="3"/>
        <v>4.9456240318969044E-2</v>
      </c>
      <c r="G105" s="63">
        <f>IF((('Raw Data'!C105)/('Raw Data'!C$136)*100)&lt;0,0,('Raw Data'!C105)/('Raw Data'!C$136)*100)</f>
        <v>88.581978271675069</v>
      </c>
      <c r="H105" s="63">
        <f t="shared" si="4"/>
        <v>0.85209117375559629</v>
      </c>
      <c r="I105" s="36">
        <f t="shared" si="5"/>
        <v>3.9320002522610364E-2</v>
      </c>
      <c r="J105" s="50">
        <f>'Raw Data'!F105/I105</f>
        <v>0.21670679529219383</v>
      </c>
      <c r="K105" s="24">
        <f t="shared" si="6"/>
        <v>6.5135874115496497</v>
      </c>
      <c r="L105" s="63">
        <f>A105*Table!$AC$9/$AC$16</f>
        <v>832.25088956495131</v>
      </c>
      <c r="M105" s="63">
        <f>A105*Table!$AD$9/$AC$16</f>
        <v>285.34316213655472</v>
      </c>
      <c r="N105" s="63">
        <f>ABS(A105*Table!$AE$9/$AC$16)</f>
        <v>360.37520634272261</v>
      </c>
      <c r="O105" s="63">
        <f>($L105*(Table!$AC$10/Table!$AC$9)/(Table!$AC$12-Table!$AC$14))</f>
        <v>1785.1799432967643</v>
      </c>
      <c r="P105" s="63">
        <f>ROUND(($N105*(Table!$AE$10/Table!$AE$9)/(Table!$AC$12-Table!$AC$13)),2)</f>
        <v>2958.75</v>
      </c>
      <c r="Q105" s="63">
        <f>'Raw Data'!C105</f>
        <v>1.2475000000000001</v>
      </c>
      <c r="R105" s="63">
        <f>'Raw Data'!C105/'Raw Data'!I$30*100</f>
        <v>11.362446511048727</v>
      </c>
      <c r="S105" s="10">
        <f t="shared" si="7"/>
        <v>0.1165048543689314</v>
      </c>
      <c r="T105" s="10">
        <f t="shared" si="8"/>
        <v>1.0577803130151775E-4</v>
      </c>
      <c r="U105" s="41">
        <f t="shared" si="9"/>
        <v>3.0655357727063085E-3</v>
      </c>
      <c r="V105" s="41">
        <f t="shared" si="10"/>
        <v>2.242101134818519E-2</v>
      </c>
      <c r="W105" s="41">
        <f t="shared" si="11"/>
        <v>8.9050474750762353E-6</v>
      </c>
      <c r="X105" s="107">
        <f t="shared" si="12"/>
        <v>0.33810306931987255</v>
      </c>
      <c r="Z105" s="84"/>
      <c r="AS105" s="157"/>
      <c r="AT105" s="157"/>
    </row>
    <row r="106" spans="1:46" x14ac:dyDescent="0.2">
      <c r="A106" s="63">
        <v>4056.633544921875</v>
      </c>
      <c r="B106" s="84">
        <v>0.89398565646524164</v>
      </c>
      <c r="C106" s="84">
        <f t="shared" si="1"/>
        <v>0.10601434353475836</v>
      </c>
      <c r="D106" s="62">
        <f t="shared" si="2"/>
        <v>8.1658737484909816E-3</v>
      </c>
      <c r="E106" s="50">
        <f>(2*Table!$AC$16*0.147)/A106</f>
        <v>2.2593878458639229E-2</v>
      </c>
      <c r="F106" s="50">
        <f t="shared" si="3"/>
        <v>4.5187756917278457E-2</v>
      </c>
      <c r="G106" s="63">
        <f>IF((('Raw Data'!C106)/('Raw Data'!C$136)*100)&lt;0,0,('Raw Data'!C106)/('Raw Data'!C$136)*100)</f>
        <v>89.398565646524162</v>
      </c>
      <c r="H106" s="63">
        <f t="shared" si="4"/>
        <v>0.81658737484909238</v>
      </c>
      <c r="I106" s="36">
        <f t="shared" si="5"/>
        <v>3.9200314209816955E-2</v>
      </c>
      <c r="J106" s="50">
        <f>'Raw Data'!F106/I106</f>
        <v>0.20831143609675448</v>
      </c>
      <c r="K106" s="24">
        <f t="shared" si="6"/>
        <v>7.1288677805787524</v>
      </c>
      <c r="L106" s="63">
        <f>A106*Table!$AC$9/$AC$16</f>
        <v>910.86619048934551</v>
      </c>
      <c r="M106" s="63">
        <f>A106*Table!$AD$9/$AC$16</f>
        <v>312.29697959634706</v>
      </c>
      <c r="N106" s="63">
        <f>ABS(A106*Table!$AE$9/$AC$16)</f>
        <v>394.4166302060645</v>
      </c>
      <c r="O106" s="63">
        <f>($L106*(Table!$AC$10/Table!$AC$9)/(Table!$AC$12-Table!$AC$14))</f>
        <v>1953.809932409579</v>
      </c>
      <c r="P106" s="63">
        <f>ROUND(($N106*(Table!$AE$10/Table!$AE$9)/(Table!$AC$12-Table!$AC$13)),2)</f>
        <v>3238.23</v>
      </c>
      <c r="Q106" s="63">
        <f>'Raw Data'!C106</f>
        <v>1.2589999999999999</v>
      </c>
      <c r="R106" s="63">
        <f>'Raw Data'!C106/'Raw Data'!I$30*100</f>
        <v>11.467190506942162</v>
      </c>
      <c r="S106" s="10">
        <f t="shared" si="7"/>
        <v>0.11165048543689178</v>
      </c>
      <c r="T106" s="10">
        <f t="shared" si="8"/>
        <v>8.47083895929579E-5</v>
      </c>
      <c r="U106" s="41">
        <f t="shared" si="9"/>
        <v>2.8267750537380627E-3</v>
      </c>
      <c r="V106" s="41">
        <f t="shared" si="10"/>
        <v>1.9548183155122457E-2</v>
      </c>
      <c r="W106" s="41">
        <f t="shared" si="11"/>
        <v>7.1244641428922153E-6</v>
      </c>
      <c r="X106" s="107">
        <f t="shared" si="12"/>
        <v>0.33811019378401547</v>
      </c>
      <c r="Z106" s="84"/>
      <c r="AS106" s="157"/>
      <c r="AT106" s="157"/>
    </row>
    <row r="107" spans="1:46" x14ac:dyDescent="0.2">
      <c r="A107" s="63">
        <v>4435.4072265625</v>
      </c>
      <c r="B107" s="84">
        <v>0.90243556060498464</v>
      </c>
      <c r="C107" s="84">
        <f t="shared" si="1"/>
        <v>9.7564439395015357E-2</v>
      </c>
      <c r="D107" s="62">
        <f t="shared" si="2"/>
        <v>8.449904139743003E-3</v>
      </c>
      <c r="E107" s="50">
        <f>(2*Table!$AC$16*0.147)/A107</f>
        <v>2.0664412664592593E-2</v>
      </c>
      <c r="F107" s="50">
        <f t="shared" si="3"/>
        <v>4.1328825329185186E-2</v>
      </c>
      <c r="G107" s="63">
        <f>IF((('Raw Data'!C107)/('Raw Data'!C$136)*100)&lt;0,0,('Raw Data'!C107)/('Raw Data'!C$136)*100)</f>
        <v>90.243556060498477</v>
      </c>
      <c r="H107" s="63">
        <f t="shared" si="4"/>
        <v>0.8449904139743154</v>
      </c>
      <c r="I107" s="36">
        <f t="shared" si="5"/>
        <v>3.8767722150590433E-2</v>
      </c>
      <c r="J107" s="50">
        <f>'Raw Data'!F107/I107</f>
        <v>0.2179623581421696</v>
      </c>
      <c r="K107" s="24">
        <f t="shared" si="6"/>
        <v>7.7945003710697547</v>
      </c>
      <c r="L107" s="63">
        <f>A107*Table!$AC$9/$AC$16</f>
        <v>995.91507070814396</v>
      </c>
      <c r="M107" s="63">
        <f>A107*Table!$AD$9/$AC$16</f>
        <v>341.45659567136363</v>
      </c>
      <c r="N107" s="63">
        <f>ABS(A107*Table!$AE$9/$AC$16)</f>
        <v>431.24387562251411</v>
      </c>
      <c r="O107" s="63">
        <f>($L107*(Table!$AC$10/Table!$AC$9)/(Table!$AC$12-Table!$AC$14))</f>
        <v>2136.2399629089323</v>
      </c>
      <c r="P107" s="63">
        <f>ROUND(($N107*(Table!$AE$10/Table!$AE$9)/(Table!$AC$12-Table!$AC$13)),2)</f>
        <v>3540.59</v>
      </c>
      <c r="Q107" s="63">
        <f>'Raw Data'!C107</f>
        <v>1.2709000000000001</v>
      </c>
      <c r="R107" s="63">
        <f>'Raw Data'!C107/'Raw Data'!I$30*100</f>
        <v>11.575577772257979</v>
      </c>
      <c r="S107" s="10">
        <f t="shared" si="7"/>
        <v>0.11553398058252499</v>
      </c>
      <c r="T107" s="10">
        <f t="shared" si="8"/>
        <v>6.6470657692052626E-5</v>
      </c>
      <c r="U107" s="41">
        <f t="shared" si="9"/>
        <v>2.6098117221198666E-3</v>
      </c>
      <c r="V107" s="41">
        <f t="shared" si="10"/>
        <v>1.7078865357978666E-2</v>
      </c>
      <c r="W107" s="41">
        <f t="shared" si="11"/>
        <v>6.1668854541185331E-6</v>
      </c>
      <c r="X107" s="107">
        <f t="shared" si="12"/>
        <v>0.3381163606694696</v>
      </c>
      <c r="Z107" s="84"/>
      <c r="AS107" s="157"/>
      <c r="AT107" s="157"/>
    </row>
    <row r="108" spans="1:46" x14ac:dyDescent="0.2">
      <c r="A108" s="63">
        <v>4846.27099609375</v>
      </c>
      <c r="B108" s="84">
        <v>0.91038841156003691</v>
      </c>
      <c r="C108" s="84">
        <f t="shared" si="1"/>
        <v>8.9611588439963086E-2</v>
      </c>
      <c r="D108" s="62">
        <f t="shared" si="2"/>
        <v>7.9528509550522708E-3</v>
      </c>
      <c r="E108" s="50">
        <f>(2*Table!$AC$16*0.147)/A108</f>
        <v>1.8912496915480085E-2</v>
      </c>
      <c r="F108" s="50">
        <f t="shared" si="3"/>
        <v>3.782499383096017E-2</v>
      </c>
      <c r="G108" s="63">
        <f>IF((('Raw Data'!C108)/('Raw Data'!C$136)*100)&lt;0,0,('Raw Data'!C108)/('Raw Data'!C$136)*100)</f>
        <v>91.038841156003699</v>
      </c>
      <c r="H108" s="63">
        <f t="shared" si="4"/>
        <v>0.79528509550522131</v>
      </c>
      <c r="I108" s="36">
        <f t="shared" si="5"/>
        <v>3.847419583399958E-2</v>
      </c>
      <c r="J108" s="50">
        <f>'Raw Data'!F108/I108</f>
        <v>0.20670609957295977</v>
      </c>
      <c r="K108" s="24">
        <f t="shared" si="6"/>
        <v>8.5165260251949579</v>
      </c>
      <c r="L108" s="63">
        <f>A108*Table!$AC$9/$AC$16</f>
        <v>1088.169377738539</v>
      </c>
      <c r="M108" s="63">
        <f>A108*Table!$AD$9/$AC$16</f>
        <v>373.08664379607052</v>
      </c>
      <c r="N108" s="63">
        <f>ABS(A108*Table!$AE$9/$AC$16)</f>
        <v>471.19116237093976</v>
      </c>
      <c r="O108" s="63">
        <f>($L108*(Table!$AC$10/Table!$AC$9)/(Table!$AC$12-Table!$AC$14))</f>
        <v>2334.1256493748156</v>
      </c>
      <c r="P108" s="63">
        <f>ROUND(($N108*(Table!$AE$10/Table!$AE$9)/(Table!$AC$12-Table!$AC$13)),2)</f>
        <v>3868.56</v>
      </c>
      <c r="Q108" s="63">
        <f>'Raw Data'!C108</f>
        <v>1.2821000000000002</v>
      </c>
      <c r="R108" s="63">
        <f>'Raw Data'!C108/'Raw Data'!I$30*100</f>
        <v>11.67758931608463</v>
      </c>
      <c r="S108" s="10">
        <f t="shared" si="7"/>
        <v>0.10873786407767103</v>
      </c>
      <c r="T108" s="10">
        <f t="shared" si="8"/>
        <v>5.209282264406756E-5</v>
      </c>
      <c r="U108" s="41">
        <f t="shared" si="9"/>
        <v>2.4096030381910425E-3</v>
      </c>
      <c r="V108" s="41">
        <f t="shared" si="10"/>
        <v>1.4922539589649128E-2</v>
      </c>
      <c r="W108" s="41">
        <f t="shared" si="11"/>
        <v>4.8617044214491877E-6</v>
      </c>
      <c r="X108" s="107">
        <f t="shared" si="12"/>
        <v>0.33812122237389103</v>
      </c>
      <c r="Z108" s="84"/>
      <c r="AS108" s="157"/>
      <c r="AT108" s="157"/>
    </row>
    <row r="109" spans="1:46" x14ac:dyDescent="0.2">
      <c r="A109" s="63">
        <v>5304.39208984375</v>
      </c>
      <c r="B109" s="84">
        <v>0.91734715614570761</v>
      </c>
      <c r="C109" s="84">
        <f t="shared" si="1"/>
        <v>8.265284385429239E-2</v>
      </c>
      <c r="D109" s="62">
        <f t="shared" si="2"/>
        <v>6.9587445856706953E-3</v>
      </c>
      <c r="E109" s="50">
        <f>(2*Table!$AC$16*0.147)/A109</f>
        <v>1.7279093195371895E-2</v>
      </c>
      <c r="F109" s="50">
        <f t="shared" si="3"/>
        <v>3.4558186390743789E-2</v>
      </c>
      <c r="G109" s="63">
        <f>IF((('Raw Data'!C109)/('Raw Data'!C$136)*100)&lt;0,0,('Raw Data'!C109)/('Raw Data'!C$136)*100)</f>
        <v>91.73471561457076</v>
      </c>
      <c r="H109" s="63">
        <f t="shared" si="4"/>
        <v>0.69587445856706154</v>
      </c>
      <c r="I109" s="36">
        <f t="shared" si="5"/>
        <v>3.922792317894741E-2</v>
      </c>
      <c r="J109" s="50">
        <f>'Raw Data'!F109/I109</f>
        <v>0.17739263314875559</v>
      </c>
      <c r="K109" s="24">
        <f t="shared" si="6"/>
        <v>9.3215986719283901</v>
      </c>
      <c r="L109" s="63">
        <f>A109*Table!$AC$9/$AC$16</f>
        <v>1191.0347242939945</v>
      </c>
      <c r="M109" s="63">
        <f>A109*Table!$AD$9/$AC$16</f>
        <v>408.35476261508381</v>
      </c>
      <c r="N109" s="63">
        <f>ABS(A109*Table!$AE$9/$AC$16)</f>
        <v>515.73316401399711</v>
      </c>
      <c r="O109" s="63">
        <f>($L109*(Table!$AC$10/Table!$AC$9)/(Table!$AC$12-Table!$AC$14))</f>
        <v>2554.7720383826572</v>
      </c>
      <c r="P109" s="63">
        <f>ROUND(($N109*(Table!$AE$10/Table!$AE$9)/(Table!$AC$12-Table!$AC$13)),2)</f>
        <v>4234.26</v>
      </c>
      <c r="Q109" s="63">
        <f>'Raw Data'!C109</f>
        <v>1.2919</v>
      </c>
      <c r="R109" s="63">
        <f>'Raw Data'!C109/'Raw Data'!I$30*100</f>
        <v>11.766849416932947</v>
      </c>
      <c r="S109" s="10">
        <f t="shared" si="7"/>
        <v>9.5145631067961589E-2</v>
      </c>
      <c r="T109" s="10">
        <f t="shared" si="8"/>
        <v>4.1591458858403207E-5</v>
      </c>
      <c r="U109" s="41">
        <f t="shared" si="9"/>
        <v>2.2183219523803266E-3</v>
      </c>
      <c r="V109" s="41">
        <f t="shared" si="10"/>
        <v>1.2974793523413148E-2</v>
      </c>
      <c r="W109" s="41">
        <f t="shared" si="11"/>
        <v>3.5509189371512341E-6</v>
      </c>
      <c r="X109" s="107">
        <f t="shared" si="12"/>
        <v>0.3381247732928282</v>
      </c>
      <c r="Z109" s="84"/>
      <c r="AS109" s="157"/>
      <c r="AT109" s="157"/>
    </row>
    <row r="110" spans="1:46" x14ac:dyDescent="0.2">
      <c r="A110" s="63">
        <v>5802.82958984375</v>
      </c>
      <c r="B110" s="84">
        <v>0.92402187034012628</v>
      </c>
      <c r="C110" s="84">
        <f t="shared" si="1"/>
        <v>7.5978129659873717E-2</v>
      </c>
      <c r="D110" s="62">
        <f t="shared" si="2"/>
        <v>6.6747141944186739E-3</v>
      </c>
      <c r="E110" s="50">
        <f>(2*Table!$AC$16*0.147)/A110</f>
        <v>1.5794895205197917E-2</v>
      </c>
      <c r="F110" s="50">
        <f t="shared" si="3"/>
        <v>3.1589790410395835E-2</v>
      </c>
      <c r="G110" s="63">
        <f>IF((('Raw Data'!C110)/('Raw Data'!C$136)*100)&lt;0,0,('Raw Data'!C110)/('Raw Data'!C$136)*100)</f>
        <v>92.402187034012627</v>
      </c>
      <c r="H110" s="63">
        <f t="shared" si="4"/>
        <v>0.66747141944186694</v>
      </c>
      <c r="I110" s="36">
        <f t="shared" si="5"/>
        <v>3.9004198195528694E-2</v>
      </c>
      <c r="J110" s="50">
        <f>'Raw Data'!F110/I110</f>
        <v>0.17112809654381872</v>
      </c>
      <c r="K110" s="24">
        <f t="shared" si="6"/>
        <v>10.197520786912193</v>
      </c>
      <c r="L110" s="63">
        <f>A110*Table!$AC$9/$AC$16</f>
        <v>1302.9526142868845</v>
      </c>
      <c r="M110" s="63">
        <f>A110*Table!$AD$9/$AC$16</f>
        <v>446.72661061264608</v>
      </c>
      <c r="N110" s="63">
        <f>ABS(A110*Table!$AE$9/$AC$16)</f>
        <v>564.19503194989454</v>
      </c>
      <c r="O110" s="63">
        <f>($L110*(Table!$AC$10/Table!$AC$9)/(Table!$AC$12-Table!$AC$14))</f>
        <v>2794.83615248152</v>
      </c>
      <c r="P110" s="63">
        <f>ROUND(($N110*(Table!$AE$10/Table!$AE$9)/(Table!$AC$12-Table!$AC$13)),2)</f>
        <v>4632.1400000000003</v>
      </c>
      <c r="Q110" s="63">
        <f>'Raw Data'!C110</f>
        <v>1.3012999999999999</v>
      </c>
      <c r="R110" s="63">
        <f>'Raw Data'!C110/'Raw Data'!I$30*100</f>
        <v>11.852466248358883</v>
      </c>
      <c r="S110" s="10">
        <f t="shared" si="7"/>
        <v>9.1262135922328361E-2</v>
      </c>
      <c r="T110" s="10">
        <f t="shared" si="8"/>
        <v>3.3174812400615927E-5</v>
      </c>
      <c r="U110" s="41">
        <f t="shared" si="9"/>
        <v>2.0425321931051279E-3</v>
      </c>
      <c r="V110" s="41">
        <f t="shared" si="10"/>
        <v>1.1284141489929655E-2</v>
      </c>
      <c r="W110" s="41">
        <f t="shared" si="11"/>
        <v>2.8459950445459786E-6</v>
      </c>
      <c r="X110" s="107">
        <f t="shared" si="12"/>
        <v>0.33812761928787272</v>
      </c>
      <c r="Z110" s="84"/>
      <c r="AS110" s="157"/>
      <c r="AT110" s="157"/>
    </row>
    <row r="111" spans="1:46" x14ac:dyDescent="0.2">
      <c r="A111" s="63">
        <v>6354.45751953125</v>
      </c>
      <c r="B111" s="84">
        <v>0.9311936377192358</v>
      </c>
      <c r="C111" s="84">
        <f t="shared" si="1"/>
        <v>6.8806362280764199E-2</v>
      </c>
      <c r="D111" s="62">
        <f t="shared" si="2"/>
        <v>7.1717673791095171E-3</v>
      </c>
      <c r="E111" s="50">
        <f>(2*Table!$AC$16*0.147)/A111</f>
        <v>1.4423746635096676E-2</v>
      </c>
      <c r="F111" s="50">
        <f t="shared" si="3"/>
        <v>2.8847493270193352E-2</v>
      </c>
      <c r="G111" s="63">
        <f>IF((('Raw Data'!C111)/('Raw Data'!C$136)*100)&lt;0,0,('Raw Data'!C111)/('Raw Data'!C$136)*100)</f>
        <v>93.119363771923574</v>
      </c>
      <c r="H111" s="63">
        <f t="shared" si="4"/>
        <v>0.71717673791094683</v>
      </c>
      <c r="I111" s="36">
        <f t="shared" si="5"/>
        <v>3.9438663782161765E-2</v>
      </c>
      <c r="J111" s="50">
        <f>'Raw Data'!F111/I111</f>
        <v>0.18184610459224865</v>
      </c>
      <c r="K111" s="24">
        <f t="shared" si="6"/>
        <v>11.166916353770654</v>
      </c>
      <c r="L111" s="63">
        <f>A111*Table!$AC$9/$AC$16</f>
        <v>1426.8137482340114</v>
      </c>
      <c r="M111" s="63">
        <f>A111*Table!$AD$9/$AC$16</f>
        <v>489.19328510880393</v>
      </c>
      <c r="N111" s="63">
        <f>ABS(A111*Table!$AE$9/$AC$16)</f>
        <v>617.82847621977419</v>
      </c>
      <c r="O111" s="63">
        <f>($L111*(Table!$AC$10/Table!$AC$9)/(Table!$AC$12-Table!$AC$14))</f>
        <v>3060.5185504805054</v>
      </c>
      <c r="P111" s="63">
        <f>ROUND(($N111*(Table!$AE$10/Table!$AE$9)/(Table!$AC$12-Table!$AC$13)),2)</f>
        <v>5072.4799999999996</v>
      </c>
      <c r="Q111" s="63">
        <f>'Raw Data'!C111</f>
        <v>1.3113999999999999</v>
      </c>
      <c r="R111" s="63">
        <f>'Raw Data'!C111/'Raw Data'!I$30*100</f>
        <v>11.944458801273989</v>
      </c>
      <c r="S111" s="10">
        <f t="shared" si="7"/>
        <v>9.8058252427183842E-2</v>
      </c>
      <c r="T111" s="10">
        <f t="shared" si="8"/>
        <v>2.5633355079879294E-5</v>
      </c>
      <c r="U111" s="41">
        <f t="shared" si="9"/>
        <v>1.8796976397373252E-3</v>
      </c>
      <c r="V111" s="41">
        <f t="shared" si="10"/>
        <v>9.8051828534412282E-3</v>
      </c>
      <c r="W111" s="41">
        <f t="shared" si="11"/>
        <v>2.5500596075654852E-6</v>
      </c>
      <c r="X111" s="107">
        <f t="shared" si="12"/>
        <v>0.3381301693474803</v>
      </c>
      <c r="Z111" s="84"/>
      <c r="AS111" s="157"/>
      <c r="AT111" s="157"/>
    </row>
    <row r="112" spans="1:46" x14ac:dyDescent="0.2">
      <c r="A112" s="63">
        <v>6942.32373046875</v>
      </c>
      <c r="B112" s="84">
        <v>0.93722928353333801</v>
      </c>
      <c r="C112" s="84">
        <f t="shared" si="1"/>
        <v>6.2770716466661991E-2</v>
      </c>
      <c r="D112" s="62">
        <f t="shared" si="2"/>
        <v>6.0356458141022085E-3</v>
      </c>
      <c r="E112" s="50">
        <f>(2*Table!$AC$16*0.147)/A112</f>
        <v>1.3202364053255556E-2</v>
      </c>
      <c r="F112" s="50">
        <f t="shared" si="3"/>
        <v>2.6404728106511111E-2</v>
      </c>
      <c r="G112" s="63">
        <f>IF((('Raw Data'!C112)/('Raw Data'!C$136)*100)&lt;0,0,('Raw Data'!C112)/('Raw Data'!C$136)*100)</f>
        <v>93.722928353333799</v>
      </c>
      <c r="H112" s="63">
        <f t="shared" si="4"/>
        <v>0.60356458141022529</v>
      </c>
      <c r="I112" s="36">
        <f t="shared" si="5"/>
        <v>3.8426380856241282E-2</v>
      </c>
      <c r="J112" s="50">
        <f>'Raw Data'!F112/I112</f>
        <v>0.15707036883547382</v>
      </c>
      <c r="K112" s="24">
        <f t="shared" si="6"/>
        <v>12.199994753393256</v>
      </c>
      <c r="L112" s="63">
        <f>A112*Table!$AC$9/$AC$16</f>
        <v>1558.8117337913584</v>
      </c>
      <c r="M112" s="63">
        <f>A112*Table!$AD$9/$AC$16</f>
        <v>534.44973729989431</v>
      </c>
      <c r="N112" s="63">
        <f>ABS(A112*Table!$AE$9/$AC$16)</f>
        <v>674.98528059029115</v>
      </c>
      <c r="O112" s="63">
        <f>($L112*(Table!$AC$10/Table!$AC$9)/(Table!$AC$12-Table!$AC$14))</f>
        <v>3343.654512636977</v>
      </c>
      <c r="P112" s="63">
        <f>ROUND(($N112*(Table!$AE$10/Table!$AE$9)/(Table!$AC$12-Table!$AC$13)),2)</f>
        <v>5541.75</v>
      </c>
      <c r="Q112" s="63">
        <f>'Raw Data'!C112</f>
        <v>1.3199000000000001</v>
      </c>
      <c r="R112" s="63">
        <f>'Raw Data'!C112/'Raw Data'!I$30*100</f>
        <v>12.021878276499571</v>
      </c>
      <c r="S112" s="10">
        <f t="shared" si="7"/>
        <v>8.2524271844661573E-2</v>
      </c>
      <c r="T112" s="10">
        <f t="shared" si="8"/>
        <v>2.0315946061333356E-5</v>
      </c>
      <c r="U112" s="41">
        <f t="shared" si="9"/>
        <v>1.7316792969099765E-3</v>
      </c>
      <c r="V112" s="41">
        <f t="shared" si="10"/>
        <v>8.5353508676898233E-3</v>
      </c>
      <c r="W112" s="41">
        <f t="shared" si="11"/>
        <v>1.798022501280252E-6</v>
      </c>
      <c r="X112" s="107">
        <f t="shared" si="12"/>
        <v>0.33813196736998158</v>
      </c>
      <c r="Z112" s="84"/>
      <c r="AS112" s="157"/>
      <c r="AT112" s="157"/>
    </row>
    <row r="113" spans="1:46" x14ac:dyDescent="0.2">
      <c r="A113" s="63">
        <v>7602.279296875</v>
      </c>
      <c r="B113" s="84">
        <v>0.94361996733650488</v>
      </c>
      <c r="C113" s="84">
        <f t="shared" si="1"/>
        <v>5.6380032663495117E-2</v>
      </c>
      <c r="D113" s="62">
        <f t="shared" si="2"/>
        <v>6.3906838031668745E-3</v>
      </c>
      <c r="E113" s="50">
        <f>(2*Table!$AC$16*0.147)/A113</f>
        <v>1.2056263876398157E-2</v>
      </c>
      <c r="F113" s="50">
        <f t="shared" si="3"/>
        <v>2.4112527752796313E-2</v>
      </c>
      <c r="G113" s="63">
        <f>IF((('Raw Data'!C113)/('Raw Data'!C$136)*100)&lt;0,0,('Raw Data'!C113)/('Raw Data'!C$136)*100)</f>
        <v>94.361996733650486</v>
      </c>
      <c r="H113" s="63">
        <f t="shared" si="4"/>
        <v>0.63906838031668656</v>
      </c>
      <c r="I113" s="36">
        <f t="shared" si="5"/>
        <v>3.9438959339255675E-2</v>
      </c>
      <c r="J113" s="50">
        <f>'Raw Data'!F113/I113</f>
        <v>0.16203986895784772</v>
      </c>
      <c r="K113" s="24">
        <f t="shared" si="6"/>
        <v>13.35975836572559</v>
      </c>
      <c r="L113" s="63">
        <f>A113*Table!$AC$9/$AC$16</f>
        <v>1706.9964800860294</v>
      </c>
      <c r="M113" s="63">
        <f>A113*Table!$AD$9/$AC$16</f>
        <v>585.25593602949573</v>
      </c>
      <c r="N113" s="63">
        <f>ABS(A113*Table!$AE$9/$AC$16)</f>
        <v>739.15115796255952</v>
      </c>
      <c r="O113" s="63">
        <f>($L113*(Table!$AC$10/Table!$AC$9)/(Table!$AC$12-Table!$AC$14))</f>
        <v>3661.5111112956452</v>
      </c>
      <c r="P113" s="63">
        <f>ROUND(($N113*(Table!$AE$10/Table!$AE$9)/(Table!$AC$12-Table!$AC$13)),2)</f>
        <v>6068.56</v>
      </c>
      <c r="Q113" s="63">
        <f>'Raw Data'!C113</f>
        <v>1.3289</v>
      </c>
      <c r="R113" s="63">
        <f>'Raw Data'!C113/'Raw Data'!I$30*100</f>
        <v>12.103851838503129</v>
      </c>
      <c r="S113" s="10">
        <f t="shared" si="7"/>
        <v>8.7378640776698172E-2</v>
      </c>
      <c r="T113" s="10">
        <f t="shared" si="8"/>
        <v>1.5620836480545464E-5</v>
      </c>
      <c r="U113" s="41">
        <f t="shared" si="9"/>
        <v>1.5921345909349252E-3</v>
      </c>
      <c r="V113" s="41">
        <f t="shared" si="10"/>
        <v>7.4049256155117758E-3</v>
      </c>
      <c r="W113" s="41">
        <f t="shared" si="11"/>
        <v>1.5875988931020327E-6</v>
      </c>
      <c r="X113" s="107">
        <f t="shared" si="12"/>
        <v>0.33813355496887471</v>
      </c>
      <c r="Z113" s="84"/>
      <c r="AS113" s="157"/>
      <c r="AT113" s="157"/>
    </row>
    <row r="114" spans="1:46" x14ac:dyDescent="0.2">
      <c r="A114" s="63">
        <v>8312.2763671875</v>
      </c>
      <c r="B114" s="84">
        <v>0.94915855996591625</v>
      </c>
      <c r="C114" s="84">
        <f t="shared" si="1"/>
        <v>5.0841440034083751E-2</v>
      </c>
      <c r="D114" s="62">
        <f t="shared" si="2"/>
        <v>5.5385926294113652E-3</v>
      </c>
      <c r="E114" s="50">
        <f>(2*Table!$AC$16*0.147)/A114</f>
        <v>1.1026472318342273E-2</v>
      </c>
      <c r="F114" s="50">
        <f t="shared" si="3"/>
        <v>2.2052944636684547E-2</v>
      </c>
      <c r="G114" s="63">
        <f>IF((('Raw Data'!C114)/('Raw Data'!C$136)*100)&lt;0,0,('Raw Data'!C114)/('Raw Data'!C$136)*100)</f>
        <v>94.915855996591631</v>
      </c>
      <c r="H114" s="63">
        <f t="shared" si="4"/>
        <v>0.5538592629411454</v>
      </c>
      <c r="I114" s="36">
        <f t="shared" si="5"/>
        <v>3.8776153325960516E-2</v>
      </c>
      <c r="J114" s="50">
        <f>'Raw Data'!F114/I114</f>
        <v>0.14283501983429839</v>
      </c>
      <c r="K114" s="24">
        <f t="shared" si="6"/>
        <v>14.607461709596048</v>
      </c>
      <c r="L114" s="63">
        <f>A114*Table!$AC$9/$AC$16</f>
        <v>1866.4174185397139</v>
      </c>
      <c r="M114" s="63">
        <f>A114*Table!$AD$9/$AC$16</f>
        <v>639.91454349933053</v>
      </c>
      <c r="N114" s="63">
        <f>ABS(A114*Table!$AE$9/$AC$16)</f>
        <v>808.18244926058276</v>
      </c>
      <c r="O114" s="63">
        <f>($L114*(Table!$AC$10/Table!$AC$9)/(Table!$AC$12-Table!$AC$14))</f>
        <v>4003.4693662370532</v>
      </c>
      <c r="P114" s="63">
        <f>ROUND(($N114*(Table!$AE$10/Table!$AE$9)/(Table!$AC$12-Table!$AC$13)),2)</f>
        <v>6635.32</v>
      </c>
      <c r="Q114" s="63">
        <f>'Raw Data'!C114</f>
        <v>1.3367</v>
      </c>
      <c r="R114" s="63">
        <f>'Raw Data'!C114/'Raw Data'!I$30*100</f>
        <v>12.174895592239546</v>
      </c>
      <c r="S114" s="10">
        <f t="shared" si="7"/>
        <v>7.5728155339806091E-2</v>
      </c>
      <c r="T114" s="10">
        <f t="shared" si="8"/>
        <v>1.2217181585505443E-5</v>
      </c>
      <c r="U114" s="41">
        <f t="shared" si="9"/>
        <v>1.4646884986042616E-3</v>
      </c>
      <c r="V114" s="41">
        <f t="shared" si="10"/>
        <v>6.4305504451360185E-3</v>
      </c>
      <c r="W114" s="41">
        <f t="shared" si="11"/>
        <v>1.1509079076940741E-6</v>
      </c>
      <c r="X114" s="107">
        <f t="shared" si="12"/>
        <v>0.3381347058767824</v>
      </c>
      <c r="Z114" s="84"/>
      <c r="AS114" s="157"/>
      <c r="AT114" s="157"/>
    </row>
    <row r="115" spans="1:46" x14ac:dyDescent="0.2">
      <c r="A115" s="63">
        <v>9092.6796875</v>
      </c>
      <c r="B115" s="84">
        <v>0.95441312220407581</v>
      </c>
      <c r="C115" s="84">
        <f t="shared" si="1"/>
        <v>4.5586877795924186E-2</v>
      </c>
      <c r="D115" s="62">
        <f t="shared" si="2"/>
        <v>5.2545622381595658E-3</v>
      </c>
      <c r="E115" s="50">
        <f>(2*Table!$AC$16*0.147)/A115</f>
        <v>1.0080096122950953E-2</v>
      </c>
      <c r="F115" s="50">
        <f t="shared" si="3"/>
        <v>2.0160192245901907E-2</v>
      </c>
      <c r="G115" s="63">
        <f>IF((('Raw Data'!C115)/('Raw Data'!C$136)*100)&lt;0,0,('Raw Data'!C115)/('Raw Data'!C$136)*100)</f>
        <v>95.441312220407582</v>
      </c>
      <c r="H115" s="63">
        <f t="shared" si="4"/>
        <v>0.52545622381595081</v>
      </c>
      <c r="I115" s="36">
        <f t="shared" si="5"/>
        <v>3.8971917997214556E-2</v>
      </c>
      <c r="J115" s="50">
        <f>'Raw Data'!F115/I115</f>
        <v>0.13482944920840503</v>
      </c>
      <c r="K115" s="24">
        <f t="shared" si="6"/>
        <v>15.978892484504657</v>
      </c>
      <c r="L115" s="63">
        <f>A115*Table!$AC$9/$AC$16</f>
        <v>2041.64719750462</v>
      </c>
      <c r="M115" s="63">
        <f>A115*Table!$AD$9/$AC$16</f>
        <v>699.99332485872685</v>
      </c>
      <c r="N115" s="63">
        <f>ABS(A115*Table!$AE$9/$AC$16)</f>
        <v>884.05916930215301</v>
      </c>
      <c r="O115" s="63">
        <f>($L115*(Table!$AC$10/Table!$AC$9)/(Table!$AC$12-Table!$AC$14))</f>
        <v>4379.3376179850284</v>
      </c>
      <c r="P115" s="63">
        <f>ROUND(($N115*(Table!$AE$10/Table!$AE$9)/(Table!$AC$12-Table!$AC$13)),2)</f>
        <v>7258.29</v>
      </c>
      <c r="Q115" s="63">
        <f>'Raw Data'!C115</f>
        <v>1.3441000000000001</v>
      </c>
      <c r="R115" s="63">
        <f>'Raw Data'!C115/'Raw Data'!I$30*100</f>
        <v>12.242296076553584</v>
      </c>
      <c r="S115" s="10">
        <f t="shared" si="7"/>
        <v>7.1844660194175916E-2</v>
      </c>
      <c r="T115" s="10">
        <f t="shared" si="8"/>
        <v>9.5185798179020509E-6</v>
      </c>
      <c r="U115" s="41">
        <f t="shared" si="9"/>
        <v>1.346390337865246E-3</v>
      </c>
      <c r="V115" s="41">
        <f t="shared" si="10"/>
        <v>5.577004996599094E-3</v>
      </c>
      <c r="W115" s="41">
        <f t="shared" si="11"/>
        <v>9.1250206319745187E-7</v>
      </c>
      <c r="X115" s="107">
        <f t="shared" si="12"/>
        <v>0.33813561837884559</v>
      </c>
      <c r="Z115" s="84"/>
      <c r="AS115" s="157"/>
      <c r="AT115" s="157"/>
    </row>
    <row r="116" spans="1:46" x14ac:dyDescent="0.2">
      <c r="A116" s="63">
        <v>9952.1494140625</v>
      </c>
      <c r="B116" s="84">
        <v>0.95988070723567409</v>
      </c>
      <c r="C116" s="84">
        <f t="shared" si="1"/>
        <v>4.0119292764325909E-2</v>
      </c>
      <c r="D116" s="62">
        <f t="shared" si="2"/>
        <v>5.4675850315982766E-3</v>
      </c>
      <c r="E116" s="50">
        <f>(2*Table!$AC$16*0.147)/A116</f>
        <v>9.2095768915701724E-3</v>
      </c>
      <c r="F116" s="50">
        <f t="shared" si="3"/>
        <v>1.8419153783140345E-2</v>
      </c>
      <c r="G116" s="63">
        <f>IF((('Raw Data'!C116)/('Raw Data'!C$136)*100)&lt;0,0,('Raw Data'!C116)/('Raw Data'!C$136)*100)</f>
        <v>95.988070723567404</v>
      </c>
      <c r="H116" s="63">
        <f t="shared" si="4"/>
        <v>0.54675850315982188</v>
      </c>
      <c r="I116" s="36">
        <f t="shared" si="5"/>
        <v>3.9224995323509537E-2</v>
      </c>
      <c r="J116" s="50">
        <f>'Raw Data'!F116/I116</f>
        <v>0.13939032972481388</v>
      </c>
      <c r="K116" s="24">
        <f t="shared" si="6"/>
        <v>17.489269493969591</v>
      </c>
      <c r="L116" s="63">
        <f>A116*Table!$AC$9/$AC$16</f>
        <v>2234.6303464644011</v>
      </c>
      <c r="M116" s="63">
        <f>A116*Table!$AD$9/$AC$16</f>
        <v>766.15897593065188</v>
      </c>
      <c r="N116" s="63">
        <f>ABS(A116*Table!$AE$9/$AC$16)</f>
        <v>967.62332405289669</v>
      </c>
      <c r="O116" s="63">
        <f>($L116*(Table!$AC$10/Table!$AC$9)/(Table!$AC$12-Table!$AC$14))</f>
        <v>4793.2868864530274</v>
      </c>
      <c r="P116" s="63">
        <f>ROUND(($N116*(Table!$AE$10/Table!$AE$9)/(Table!$AC$12-Table!$AC$13)),2)</f>
        <v>7944.36</v>
      </c>
      <c r="Q116" s="63">
        <f>'Raw Data'!C116</f>
        <v>1.3517999999999999</v>
      </c>
      <c r="R116" s="63">
        <f>'Raw Data'!C116/'Raw Data'!I$30*100</f>
        <v>12.312429012934404</v>
      </c>
      <c r="S116" s="10">
        <f t="shared" si="7"/>
        <v>7.4757281553396657E-2</v>
      </c>
      <c r="T116" s="10">
        <f t="shared" si="8"/>
        <v>7.174632667528158E-6</v>
      </c>
      <c r="U116" s="41">
        <f t="shared" si="9"/>
        <v>1.2371627977707813E-3</v>
      </c>
      <c r="V116" s="41">
        <f t="shared" si="10"/>
        <v>4.8335554203629985E-3</v>
      </c>
      <c r="W116" s="41">
        <f t="shared" si="11"/>
        <v>7.925795633706447E-7</v>
      </c>
      <c r="X116" s="107">
        <f t="shared" si="12"/>
        <v>0.33813641095840896</v>
      </c>
      <c r="Z116" s="84"/>
      <c r="AS116" s="157"/>
      <c r="AT116" s="157"/>
    </row>
    <row r="117" spans="1:46" x14ac:dyDescent="0.2">
      <c r="A117" s="63">
        <v>10890.7373046875</v>
      </c>
      <c r="B117" s="84">
        <v>0.96463821628914292</v>
      </c>
      <c r="C117" s="84">
        <f t="shared" si="1"/>
        <v>3.5361783710857075E-2</v>
      </c>
      <c r="D117" s="62">
        <f t="shared" si="2"/>
        <v>4.7575090534688336E-3</v>
      </c>
      <c r="E117" s="50">
        <f>(2*Table!$AC$16*0.147)/A117</f>
        <v>8.4158751332432027E-3</v>
      </c>
      <c r="F117" s="50">
        <f t="shared" si="3"/>
        <v>1.6831750266486405E-2</v>
      </c>
      <c r="G117" s="63">
        <f>IF((('Raw Data'!C117)/('Raw Data'!C$136)*100)&lt;0,0,('Raw Data'!C117)/('Raw Data'!C$136)*100)</f>
        <v>96.463821628914303</v>
      </c>
      <c r="H117" s="63">
        <f t="shared" si="4"/>
        <v>0.47575090534689934</v>
      </c>
      <c r="I117" s="36">
        <f t="shared" si="5"/>
        <v>3.9140394992791094E-2</v>
      </c>
      <c r="J117" s="50">
        <f>'Raw Data'!F117/I117</f>
        <v>0.12154984778117814</v>
      </c>
      <c r="K117" s="24">
        <f t="shared" si="6"/>
        <v>19.138683693853103</v>
      </c>
      <c r="L117" s="63">
        <f>A117*Table!$AC$9/$AC$16</f>
        <v>2445.3784869867882</v>
      </c>
      <c r="M117" s="63">
        <f>A117*Table!$AD$9/$AC$16</f>
        <v>838.41548125261318</v>
      </c>
      <c r="N117" s="63">
        <f>ABS(A117*Table!$AE$9/$AC$16)</f>
        <v>1058.8799457992566</v>
      </c>
      <c r="O117" s="63">
        <f>($L117*(Table!$AC$10/Table!$AC$9)/(Table!$AC$12-Table!$AC$14))</f>
        <v>5245.3420999287619</v>
      </c>
      <c r="P117" s="63">
        <f>ROUND(($N117*(Table!$AE$10/Table!$AE$9)/(Table!$AC$12-Table!$AC$13)),2)</f>
        <v>8693.6</v>
      </c>
      <c r="Q117" s="63">
        <f>'Raw Data'!C117</f>
        <v>1.3585000000000003</v>
      </c>
      <c r="R117" s="63">
        <f>'Raw Data'!C117/'Raw Data'!I$30*100</f>
        <v>12.373453775759279</v>
      </c>
      <c r="S117" s="10">
        <f t="shared" si="7"/>
        <v>6.5048543689321947E-2</v>
      </c>
      <c r="T117" s="10">
        <f t="shared" si="8"/>
        <v>5.4714897108620875E-6</v>
      </c>
      <c r="U117" s="41">
        <f t="shared" si="9"/>
        <v>1.1361447282759818E-3</v>
      </c>
      <c r="V117" s="41">
        <f t="shared" si="10"/>
        <v>4.1851517603411223E-3</v>
      </c>
      <c r="W117" s="41">
        <f t="shared" si="11"/>
        <v>5.7589877855691514E-7</v>
      </c>
      <c r="X117" s="107">
        <f t="shared" si="12"/>
        <v>0.33813698685718752</v>
      </c>
      <c r="Z117" s="84"/>
      <c r="AS117" s="157"/>
      <c r="AT117" s="157"/>
    </row>
    <row r="118" spans="1:46" x14ac:dyDescent="0.2">
      <c r="A118" s="63">
        <v>11893.5537109375</v>
      </c>
      <c r="B118" s="84">
        <v>0.96904068735354676</v>
      </c>
      <c r="C118" s="84">
        <f t="shared" si="1"/>
        <v>3.0959312646453241E-2</v>
      </c>
      <c r="D118" s="62">
        <f t="shared" si="2"/>
        <v>4.4024710644038345E-3</v>
      </c>
      <c r="E118" s="50">
        <f>(2*Table!$AC$16*0.147)/A118</f>
        <v>7.7062825369776716E-3</v>
      </c>
      <c r="F118" s="50">
        <f t="shared" si="3"/>
        <v>1.5412565073955343E-2</v>
      </c>
      <c r="G118" s="63">
        <f>IF((('Raw Data'!C118)/('Raw Data'!C$136)*100)&lt;0,0,('Raw Data'!C118)/('Raw Data'!C$136)*100)</f>
        <v>96.90406873535467</v>
      </c>
      <c r="H118" s="63">
        <f t="shared" si="4"/>
        <v>0.44024710644036702</v>
      </c>
      <c r="I118" s="36">
        <f t="shared" si="5"/>
        <v>3.825435561438395E-2</v>
      </c>
      <c r="J118" s="50">
        <f>'Raw Data'!F118/I118</f>
        <v>0.11508417783276836</v>
      </c>
      <c r="K118" s="24">
        <f t="shared" si="6"/>
        <v>20.900968970348071</v>
      </c>
      <c r="L118" s="63">
        <f>A118*Table!$AC$9/$AC$16</f>
        <v>2670.5483352380788</v>
      </c>
      <c r="M118" s="63">
        <f>A118*Table!$AD$9/$AC$16</f>
        <v>915.61657208162706</v>
      </c>
      <c r="N118" s="63">
        <f>ABS(A118*Table!$AE$9/$AC$16)</f>
        <v>1156.381350175209</v>
      </c>
      <c r="O118" s="63">
        <f>($L118*(Table!$AC$10/Table!$AC$9)/(Table!$AC$12-Table!$AC$14))</f>
        <v>5728.3319074175879</v>
      </c>
      <c r="P118" s="63">
        <f>ROUND(($N118*(Table!$AE$10/Table!$AE$9)/(Table!$AC$12-Table!$AC$13)),2)</f>
        <v>9494.1</v>
      </c>
      <c r="Q118" s="63">
        <f>'Raw Data'!C118</f>
        <v>1.3647</v>
      </c>
      <c r="R118" s="63">
        <f>'Raw Data'!C118/'Raw Data'!I$30*100</f>
        <v>12.429924451806171</v>
      </c>
      <c r="S118" s="10">
        <f t="shared" si="7"/>
        <v>6.0194174757280797E-2</v>
      </c>
      <c r="T118" s="10">
        <f t="shared" si="8"/>
        <v>4.1500137160088713E-6</v>
      </c>
      <c r="U118" s="41">
        <f t="shared" si="9"/>
        <v>1.0450976010959127E-3</v>
      </c>
      <c r="V118" s="41">
        <f t="shared" si="10"/>
        <v>3.6338511228767622E-3</v>
      </c>
      <c r="W118" s="41">
        <f t="shared" si="11"/>
        <v>4.4684235600279475E-7</v>
      </c>
      <c r="X118" s="107">
        <f t="shared" si="12"/>
        <v>0.33813743369954352</v>
      </c>
      <c r="Z118" s="84"/>
      <c r="AS118" s="157"/>
      <c r="AT118" s="157"/>
    </row>
    <row r="119" spans="1:46" x14ac:dyDescent="0.2">
      <c r="A119" s="63">
        <v>12993.28515625</v>
      </c>
      <c r="B119" s="84">
        <v>0.97358517361357655</v>
      </c>
      <c r="C119" s="84">
        <f t="shared" si="1"/>
        <v>2.6414826386423451E-2</v>
      </c>
      <c r="D119" s="62">
        <f t="shared" si="2"/>
        <v>4.5444862600297897E-3</v>
      </c>
      <c r="E119" s="50">
        <f>(2*Table!$AC$16*0.147)/A119</f>
        <v>7.0540347697299567E-3</v>
      </c>
      <c r="F119" s="50">
        <f t="shared" si="3"/>
        <v>1.4108069539459913E-2</v>
      </c>
      <c r="G119" s="63">
        <f>IF((('Raw Data'!C119)/('Raw Data'!C$136)*100)&lt;0,0,('Raw Data'!C119)/('Raw Data'!C$136)*100)</f>
        <v>97.358517361357684</v>
      </c>
      <c r="H119" s="63">
        <f t="shared" si="4"/>
        <v>0.45444862600301406</v>
      </c>
      <c r="I119" s="36">
        <f t="shared" si="5"/>
        <v>3.84073315958946E-2</v>
      </c>
      <c r="J119" s="50">
        <f>'Raw Data'!F119/I119</f>
        <v>0.11832340522494868</v>
      </c>
      <c r="K119" s="24">
        <f t="shared" si="6"/>
        <v>22.833566524690035</v>
      </c>
      <c r="L119" s="63">
        <f>A119*Table!$AC$9/$AC$16</f>
        <v>2917.4792401523482</v>
      </c>
      <c r="M119" s="63">
        <f>A119*Table!$AD$9/$AC$16</f>
        <v>1000.2785966236622</v>
      </c>
      <c r="N119" s="63">
        <f>ABS(A119*Table!$AE$9/$AC$16)</f>
        <v>1263.3055684928274</v>
      </c>
      <c r="O119" s="63">
        <f>($L119*(Table!$AC$10/Table!$AC$9)/(Table!$AC$12-Table!$AC$14))</f>
        <v>6257.9992281260165</v>
      </c>
      <c r="P119" s="63">
        <f>ROUND(($N119*(Table!$AE$10/Table!$AE$9)/(Table!$AC$12-Table!$AC$13)),2)</f>
        <v>10371.969999999999</v>
      </c>
      <c r="Q119" s="63">
        <f>'Raw Data'!C119</f>
        <v>1.3711000000000002</v>
      </c>
      <c r="R119" s="63">
        <f>'Raw Data'!C119/'Raw Data'!I$30*100</f>
        <v>12.488216762564258</v>
      </c>
      <c r="S119" s="10">
        <f t="shared" si="7"/>
        <v>6.2135922330096648E-2</v>
      </c>
      <c r="T119" s="10">
        <f t="shared" si="8"/>
        <v>3.0070487998523632E-6</v>
      </c>
      <c r="U119" s="41">
        <f t="shared" si="9"/>
        <v>9.6112850694708295E-4</v>
      </c>
      <c r="V119" s="41">
        <f t="shared" si="10"/>
        <v>3.1539611693002681E-3</v>
      </c>
      <c r="W119" s="41">
        <f t="shared" si="11"/>
        <v>3.8648082743734999E-7</v>
      </c>
      <c r="X119" s="107">
        <f t="shared" si="12"/>
        <v>0.33813782018037097</v>
      </c>
      <c r="Z119" s="84"/>
      <c r="AS119" s="157"/>
      <c r="AT119" s="157"/>
    </row>
    <row r="120" spans="1:46" x14ac:dyDescent="0.2">
      <c r="A120" s="63">
        <v>14291.5283203125</v>
      </c>
      <c r="B120" s="84">
        <v>0.97749059149328976</v>
      </c>
      <c r="C120" s="84">
        <f t="shared" si="1"/>
        <v>2.2509408506710238E-2</v>
      </c>
      <c r="D120" s="62">
        <f t="shared" si="2"/>
        <v>3.9054178797132133E-3</v>
      </c>
      <c r="E120" s="50">
        <f>(2*Table!$AC$16*0.147)/A120</f>
        <v>6.4132458902197735E-3</v>
      </c>
      <c r="F120" s="50">
        <f t="shared" si="3"/>
        <v>1.2826491780439547E-2</v>
      </c>
      <c r="G120" s="63">
        <f>IF((('Raw Data'!C120)/('Raw Data'!C$136)*100)&lt;0,0,('Raw Data'!C120)/('Raw Data'!C$136)*100)</f>
        <v>97.749059149328986</v>
      </c>
      <c r="H120" s="63">
        <f t="shared" si="4"/>
        <v>0.39054178797130135</v>
      </c>
      <c r="I120" s="36">
        <f t="shared" si="5"/>
        <v>4.135970447999604E-2</v>
      </c>
      <c r="J120" s="50">
        <f>'Raw Data'!F120/I120</f>
        <v>9.4425671769535729E-2</v>
      </c>
      <c r="K120" s="24">
        <f t="shared" si="6"/>
        <v>25.115015849889065</v>
      </c>
      <c r="L120" s="63">
        <f>A120*Table!$AC$9/$AC$16</f>
        <v>3208.9834620850243</v>
      </c>
      <c r="M120" s="63">
        <f>A120*Table!$AD$9/$AC$16</f>
        <v>1100.222901286294</v>
      </c>
      <c r="N120" s="63">
        <f>ABS(A120*Table!$AE$9/$AC$16)</f>
        <v>1389.5305992448846</v>
      </c>
      <c r="O120" s="63">
        <f>($L120*(Table!$AC$10/Table!$AC$9)/(Table!$AC$12-Table!$AC$14))</f>
        <v>6883.2764094487875</v>
      </c>
      <c r="P120" s="63">
        <f>ROUND(($N120*(Table!$AE$10/Table!$AE$9)/(Table!$AC$12-Table!$AC$13)),2)</f>
        <v>11408.3</v>
      </c>
      <c r="Q120" s="63">
        <f>'Raw Data'!C120</f>
        <v>1.3766000000000003</v>
      </c>
      <c r="R120" s="63">
        <f>'Raw Data'!C120/'Raw Data'!I$30*100</f>
        <v>12.538311717121989</v>
      </c>
      <c r="S120" s="10">
        <f t="shared" si="7"/>
        <v>5.3398058252428347E-2</v>
      </c>
      <c r="T120" s="10">
        <f t="shared" si="8"/>
        <v>2.1951606432590864E-6</v>
      </c>
      <c r="U120" s="41">
        <f t="shared" si="9"/>
        <v>8.7732476444113601E-4</v>
      </c>
      <c r="V120" s="41">
        <f t="shared" si="10"/>
        <v>2.7030688798394807E-3</v>
      </c>
      <c r="W120" s="41">
        <f t="shared" si="11"/>
        <v>2.7453091707077596E-7</v>
      </c>
      <c r="X120" s="107">
        <f t="shared" si="12"/>
        <v>0.33813809471128803</v>
      </c>
      <c r="Z120" s="84"/>
      <c r="AS120" s="157"/>
      <c r="AT120" s="157"/>
    </row>
    <row r="121" spans="1:46" x14ac:dyDescent="0.2">
      <c r="A121" s="63">
        <v>15592.9521484375</v>
      </c>
      <c r="B121" s="84">
        <v>0.98111197898175095</v>
      </c>
      <c r="C121" s="84">
        <f t="shared" si="1"/>
        <v>1.8888021018249046E-2</v>
      </c>
      <c r="D121" s="62">
        <f t="shared" si="2"/>
        <v>3.6213874884611919E-3</v>
      </c>
      <c r="E121" s="50">
        <f>(2*Table!$AC$16*0.147)/A121</f>
        <v>5.8779815645357437E-3</v>
      </c>
      <c r="F121" s="50">
        <f t="shared" si="3"/>
        <v>1.1755963129071487E-2</v>
      </c>
      <c r="G121" s="63">
        <f>IF((('Raw Data'!C121)/('Raw Data'!C$136)*100)&lt;0,0,('Raw Data'!C121)/('Raw Data'!C$136)*100)</f>
        <v>98.111197898175092</v>
      </c>
      <c r="H121" s="63">
        <f t="shared" si="4"/>
        <v>0.36213874884610675</v>
      </c>
      <c r="I121" s="36">
        <f t="shared" si="5"/>
        <v>3.784967188338495E-2</v>
      </c>
      <c r="J121" s="50">
        <f>'Raw Data'!F121/I121</f>
        <v>9.5678173898537236E-2</v>
      </c>
      <c r="K121" s="24">
        <f t="shared" si="6"/>
        <v>27.402054670245818</v>
      </c>
      <c r="L121" s="63">
        <f>A121*Table!$AC$9/$AC$16</f>
        <v>3501.2018622459655</v>
      </c>
      <c r="M121" s="63">
        <f>A121*Table!$AD$9/$AC$16</f>
        <v>1200.4120670557597</v>
      </c>
      <c r="N121" s="63">
        <f>ABS(A121*Table!$AE$9/$AC$16)</f>
        <v>1516.0648782411954</v>
      </c>
      <c r="O121" s="63">
        <f>($L121*(Table!$AC$10/Table!$AC$9)/(Table!$AC$12-Table!$AC$14))</f>
        <v>7510.085504603102</v>
      </c>
      <c r="P121" s="63">
        <f>ROUND(($N121*(Table!$AE$10/Table!$AE$9)/(Table!$AC$12-Table!$AC$13)),2)</f>
        <v>12447.17</v>
      </c>
      <c r="Q121" s="63">
        <f>'Raw Data'!C121</f>
        <v>1.3816999999999999</v>
      </c>
      <c r="R121" s="63">
        <f>'Raw Data'!C121/'Raw Data'!I$30*100</f>
        <v>12.584763402257334</v>
      </c>
      <c r="S121" s="10">
        <f t="shared" si="7"/>
        <v>4.9514563106795126E-2</v>
      </c>
      <c r="T121" s="10">
        <f t="shared" si="8"/>
        <v>1.5627424587716376E-6</v>
      </c>
      <c r="U121" s="41">
        <f t="shared" si="9"/>
        <v>8.0708022973817667E-4</v>
      </c>
      <c r="V121" s="41">
        <f t="shared" si="10"/>
        <v>2.3473024416539577E-3</v>
      </c>
      <c r="W121" s="41">
        <f t="shared" si="11"/>
        <v>2.1384514938399154E-7</v>
      </c>
      <c r="X121" s="107">
        <f t="shared" si="12"/>
        <v>0.33813830855643739</v>
      </c>
      <c r="Z121" s="84"/>
      <c r="AS121" s="157"/>
      <c r="AT121" s="157"/>
    </row>
    <row r="122" spans="1:46" x14ac:dyDescent="0.2">
      <c r="A122" s="63">
        <v>17093.080078125</v>
      </c>
      <c r="B122" s="84">
        <v>0.98359724490520473</v>
      </c>
      <c r="C122" s="84">
        <f t="shared" si="1"/>
        <v>1.6402755094795274E-2</v>
      </c>
      <c r="D122" s="62">
        <f t="shared" si="2"/>
        <v>2.4852659234537722E-3</v>
      </c>
      <c r="E122" s="50">
        <f>(2*Table!$AC$16*0.147)/A122</f>
        <v>5.3621164147297203E-3</v>
      </c>
      <c r="F122" s="50">
        <f t="shared" si="3"/>
        <v>1.0724232829459441E-2</v>
      </c>
      <c r="G122" s="63">
        <f>IF((('Raw Data'!C122)/('Raw Data'!C$136)*100)&lt;0,0,('Raw Data'!C122)/('Raw Data'!C$136)*100)</f>
        <v>98.359724490520492</v>
      </c>
      <c r="H122" s="63">
        <f t="shared" si="4"/>
        <v>0.24852659234539942</v>
      </c>
      <c r="I122" s="36">
        <f t="shared" si="5"/>
        <v>3.9891981094870577E-2</v>
      </c>
      <c r="J122" s="50">
        <f>'Raw Data'!F122/I122</f>
        <v>6.2299887226547307E-2</v>
      </c>
      <c r="K122" s="24">
        <f t="shared" si="6"/>
        <v>30.038283342683496</v>
      </c>
      <c r="L122" s="63">
        <f>A122*Table!$AC$9/$AC$16</f>
        <v>3838.0367765732931</v>
      </c>
      <c r="M122" s="63">
        <f>A122*Table!$AD$9/$AC$16</f>
        <v>1315.8983233965575</v>
      </c>
      <c r="N122" s="63">
        <f>ABS(A122*Table!$AE$9/$AC$16)</f>
        <v>1661.9186745857057</v>
      </c>
      <c r="O122" s="63">
        <f>($L122*(Table!$AC$10/Table!$AC$9)/(Table!$AC$12-Table!$AC$14))</f>
        <v>8232.5971183468337</v>
      </c>
      <c r="P122" s="63">
        <f>ROUND(($N122*(Table!$AE$10/Table!$AE$9)/(Table!$AC$12-Table!$AC$13)),2)</f>
        <v>13644.65</v>
      </c>
      <c r="Q122" s="63">
        <f>'Raw Data'!C122</f>
        <v>1.3852000000000002</v>
      </c>
      <c r="R122" s="63">
        <f>'Raw Data'!C122/'Raw Data'!I$30*100</f>
        <v>12.616642009703167</v>
      </c>
      <c r="S122" s="10">
        <f t="shared" si="7"/>
        <v>3.3980582524271344E-2</v>
      </c>
      <c r="T122" s="10">
        <f t="shared" si="8"/>
        <v>1.2015669816900498E-6</v>
      </c>
      <c r="U122" s="41">
        <f t="shared" si="9"/>
        <v>7.3811401760466859E-4</v>
      </c>
      <c r="V122" s="41">
        <f t="shared" si="10"/>
        <v>2.018225341176157E-3</v>
      </c>
      <c r="W122" s="41">
        <f t="shared" si="11"/>
        <v>1.2212745577414709E-7</v>
      </c>
      <c r="X122" s="107">
        <f t="shared" si="12"/>
        <v>0.33813843068389315</v>
      </c>
      <c r="Z122" s="84"/>
      <c r="AS122" s="157"/>
      <c r="AT122" s="157"/>
    </row>
    <row r="123" spans="1:46" x14ac:dyDescent="0.2">
      <c r="A123" s="63">
        <v>18689.7109375</v>
      </c>
      <c r="B123" s="84">
        <v>0.98551445004615479</v>
      </c>
      <c r="C123" s="84">
        <f t="shared" si="1"/>
        <v>1.4485549953845211E-2</v>
      </c>
      <c r="D123" s="62">
        <f t="shared" si="2"/>
        <v>1.9172051409500623E-3</v>
      </c>
      <c r="E123" s="50">
        <f>(2*Table!$AC$16*0.147)/A123</f>
        <v>4.9040397452751478E-3</v>
      </c>
      <c r="F123" s="50">
        <f t="shared" si="3"/>
        <v>9.8080794905502956E-3</v>
      </c>
      <c r="G123" s="63">
        <f>IF((('Raw Data'!C123)/('Raw Data'!C$136)*100)&lt;0,0,('Raw Data'!C123)/('Raw Data'!C$136)*100)</f>
        <v>98.551445004615502</v>
      </c>
      <c r="H123" s="63">
        <f t="shared" si="4"/>
        <v>0.19172051409501023</v>
      </c>
      <c r="I123" s="36">
        <f t="shared" si="5"/>
        <v>3.878225723296147E-2</v>
      </c>
      <c r="J123" s="50">
        <f>'Raw Data'!F123/I123</f>
        <v>4.9435109705801457E-2</v>
      </c>
      <c r="K123" s="24">
        <f t="shared" si="6"/>
        <v>32.844100078366829</v>
      </c>
      <c r="L123" s="63">
        <f>A123*Table!$AC$9/$AC$16</f>
        <v>4196.5402135714812</v>
      </c>
      <c r="M123" s="63">
        <f>A123*Table!$AD$9/$AC$16</f>
        <v>1438.813787510222</v>
      </c>
      <c r="N123" s="63">
        <f>ABS(A123*Table!$AE$9/$AC$16)</f>
        <v>1817.1552164779382</v>
      </c>
      <c r="O123" s="63">
        <f>($L123*(Table!$AC$10/Table!$AC$9)/(Table!$AC$12-Table!$AC$14))</f>
        <v>9001.5877596985883</v>
      </c>
      <c r="P123" s="63">
        <f>ROUND(($N123*(Table!$AE$10/Table!$AE$9)/(Table!$AC$12-Table!$AC$13)),2)</f>
        <v>14919.17</v>
      </c>
      <c r="Q123" s="63">
        <f>'Raw Data'!C123</f>
        <v>1.3879000000000001</v>
      </c>
      <c r="R123" s="63">
        <f>'Raw Data'!C123/'Raw Data'!I$30*100</f>
        <v>12.641234078304233</v>
      </c>
      <c r="S123" s="10">
        <f t="shared" si="7"/>
        <v>2.6213592233009453E-2</v>
      </c>
      <c r="T123" s="10">
        <f t="shared" si="8"/>
        <v>9.6851679221021669E-7</v>
      </c>
      <c r="U123" s="41">
        <f t="shared" si="9"/>
        <v>6.7637397499499096E-4</v>
      </c>
      <c r="V123" s="41">
        <f t="shared" si="10"/>
        <v>1.7410807933146458E-3</v>
      </c>
      <c r="W123" s="41">
        <f t="shared" si="11"/>
        <v>7.880332005187242E-8</v>
      </c>
      <c r="X123" s="107">
        <f t="shared" si="12"/>
        <v>0.33813850948721319</v>
      </c>
      <c r="Z123" s="84"/>
      <c r="AS123" s="157"/>
      <c r="AT123" s="157"/>
    </row>
    <row r="124" spans="1:46" x14ac:dyDescent="0.2">
      <c r="A124" s="63">
        <v>20388.09765625</v>
      </c>
      <c r="B124" s="84">
        <v>0.98878079954555131</v>
      </c>
      <c r="C124" s="84">
        <f t="shared" si="1"/>
        <v>1.1219200454448686E-2</v>
      </c>
      <c r="D124" s="62">
        <f t="shared" si="2"/>
        <v>3.2663494993965259E-3</v>
      </c>
      <c r="E124" s="50">
        <f>(2*Table!$AC$16*0.147)/A124</f>
        <v>4.4955192392413645E-3</v>
      </c>
      <c r="F124" s="50">
        <f t="shared" si="3"/>
        <v>8.9910384784827289E-3</v>
      </c>
      <c r="G124" s="63">
        <f>IF((('Raw Data'!C124)/('Raw Data'!C$136)*100)&lt;0,0,('Raw Data'!C124)/('Raw Data'!C$136)*100)</f>
        <v>98.878079954555133</v>
      </c>
      <c r="H124" s="63">
        <f t="shared" si="4"/>
        <v>0.32663494993963127</v>
      </c>
      <c r="I124" s="36">
        <f t="shared" si="5"/>
        <v>3.7774120674250788E-2</v>
      </c>
      <c r="J124" s="50">
        <f>'Raw Data'!F124/I124</f>
        <v>8.6470563472913681E-2</v>
      </c>
      <c r="K124" s="24">
        <f t="shared" si="6"/>
        <v>35.828736039240368</v>
      </c>
      <c r="L124" s="63">
        <f>A124*Table!$AC$9/$AC$16</f>
        <v>4577.8916527277397</v>
      </c>
      <c r="M124" s="63">
        <f>A124*Table!$AD$9/$AC$16</f>
        <v>1569.5628523637965</v>
      </c>
      <c r="N124" s="63">
        <f>ABS(A124*Table!$AE$9/$AC$16)</f>
        <v>1982.2852335174762</v>
      </c>
      <c r="O124" s="63">
        <f>($L124*(Table!$AC$10/Table!$AC$9)/(Table!$AC$12-Table!$AC$14))</f>
        <v>9819.5874146884162</v>
      </c>
      <c r="P124" s="63">
        <f>ROUND(($N124*(Table!$AE$10/Table!$AE$9)/(Table!$AC$12-Table!$AC$13)),2)</f>
        <v>16274.92</v>
      </c>
      <c r="Q124" s="63">
        <f>'Raw Data'!C124</f>
        <v>1.3925000000000001</v>
      </c>
      <c r="R124" s="63">
        <f>'Raw Data'!C124/'Raw Data'!I$30*100</f>
        <v>12.683131676661608</v>
      </c>
      <c r="S124" s="10">
        <f t="shared" si="7"/>
        <v>4.4660194174758534E-2</v>
      </c>
      <c r="T124" s="10">
        <f t="shared" si="8"/>
        <v>6.3486359824782568E-7</v>
      </c>
      <c r="U124" s="41">
        <f t="shared" si="9"/>
        <v>6.2208509545634712E-4</v>
      </c>
      <c r="V124" s="41">
        <f t="shared" si="10"/>
        <v>1.5113773208115298E-3</v>
      </c>
      <c r="W124" s="41">
        <f t="shared" si="11"/>
        <v>1.128211029851859E-7</v>
      </c>
      <c r="X124" s="107">
        <f t="shared" si="12"/>
        <v>0.33813862230831615</v>
      </c>
      <c r="Z124" s="84"/>
      <c r="AS124" s="157"/>
      <c r="AT124" s="157"/>
    </row>
    <row r="125" spans="1:46" x14ac:dyDescent="0.2">
      <c r="A125" s="63">
        <v>22293.357421875</v>
      </c>
      <c r="B125" s="84">
        <v>0.99105304267556615</v>
      </c>
      <c r="C125" s="84">
        <f t="shared" si="1"/>
        <v>8.9469573244338463E-3</v>
      </c>
      <c r="D125" s="62">
        <f t="shared" si="2"/>
        <v>2.2722431300148394E-3</v>
      </c>
      <c r="E125" s="50">
        <f>(2*Table!$AC$16*0.147)/A125</f>
        <v>4.1113181622104422E-3</v>
      </c>
      <c r="F125" s="50">
        <f t="shared" si="3"/>
        <v>8.2226363244208844E-3</v>
      </c>
      <c r="G125" s="63">
        <f>IF((('Raw Data'!C125)/('Raw Data'!C$136)*100)&lt;0,0,('Raw Data'!C125)/('Raw Data'!C$136)*100)</f>
        <v>99.105304267556633</v>
      </c>
      <c r="H125" s="63">
        <f t="shared" si="4"/>
        <v>0.22722431300149992</v>
      </c>
      <c r="I125" s="36">
        <f t="shared" si="5"/>
        <v>3.8798773843920387E-2</v>
      </c>
      <c r="J125" s="50">
        <f>'Raw Data'!F125/I125</f>
        <v>5.8564818031513977E-2</v>
      </c>
      <c r="K125" s="24">
        <f t="shared" si="6"/>
        <v>39.176917433095767</v>
      </c>
      <c r="L125" s="63">
        <f>A125*Table!$AC$9/$AC$16</f>
        <v>5005.6938402780297</v>
      </c>
      <c r="M125" s="63">
        <f>A125*Table!$AD$9/$AC$16</f>
        <v>1716.2378880953247</v>
      </c>
      <c r="N125" s="63">
        <f>ABS(A125*Table!$AE$9/$AC$16)</f>
        <v>2167.5290146240291</v>
      </c>
      <c r="O125" s="63">
        <f>($L125*(Table!$AC$10/Table!$AC$9)/(Table!$AC$12-Table!$AC$14))</f>
        <v>10737.2240246204</v>
      </c>
      <c r="P125" s="63">
        <f>ROUND(($N125*(Table!$AE$10/Table!$AE$9)/(Table!$AC$12-Table!$AC$13)),2)</f>
        <v>17795.8</v>
      </c>
      <c r="Q125" s="63">
        <f>'Raw Data'!C125</f>
        <v>1.3957000000000002</v>
      </c>
      <c r="R125" s="63">
        <f>'Raw Data'!C125/'Raw Data'!I$30*100</f>
        <v>12.71227783204065</v>
      </c>
      <c r="S125" s="10">
        <f t="shared" si="7"/>
        <v>3.1067961165047564E-2</v>
      </c>
      <c r="T125" s="10">
        <f t="shared" si="8"/>
        <v>4.4073483596029916E-7</v>
      </c>
      <c r="U125" s="41">
        <f t="shared" si="9"/>
        <v>5.7022715742075403E-4</v>
      </c>
      <c r="V125" s="41">
        <f t="shared" si="10"/>
        <v>1.3045174400068706E-3</v>
      </c>
      <c r="W125" s="41">
        <f t="shared" si="11"/>
        <v>6.5642473906488991E-8</v>
      </c>
      <c r="X125" s="107">
        <f t="shared" si="12"/>
        <v>0.33813868795079005</v>
      </c>
      <c r="Z125" s="84"/>
      <c r="AS125" s="157"/>
      <c r="AT125" s="157"/>
    </row>
    <row r="126" spans="1:46" x14ac:dyDescent="0.2">
      <c r="A126" s="63">
        <v>24394.859375</v>
      </c>
      <c r="B126" s="84">
        <v>0.99282823262089048</v>
      </c>
      <c r="C126" s="84">
        <f t="shared" si="1"/>
        <v>7.1717673791095171E-3</v>
      </c>
      <c r="D126" s="62">
        <f t="shared" si="2"/>
        <v>1.7751899453243292E-3</v>
      </c>
      <c r="E126" s="50">
        <f>(2*Table!$AC$16*0.147)/A126</f>
        <v>3.7571475144116766E-3</v>
      </c>
      <c r="F126" s="50">
        <f t="shared" si="3"/>
        <v>7.5142950288233533E-3</v>
      </c>
      <c r="G126" s="63">
        <f>IF((('Raw Data'!C126)/('Raw Data'!C$136)*100)&lt;0,0,('Raw Data'!C126)/('Raw Data'!C$136)*100)</f>
        <v>99.282823262089053</v>
      </c>
      <c r="H126" s="63">
        <f t="shared" si="4"/>
        <v>0.17751899453242004</v>
      </c>
      <c r="I126" s="36">
        <f t="shared" si="5"/>
        <v>3.9122839972305368E-2</v>
      </c>
      <c r="J126" s="50">
        <f>'Raw Data'!F126/I126</f>
        <v>4.5374772040596867E-2</v>
      </c>
      <c r="K126" s="24">
        <f t="shared" si="6"/>
        <v>42.86996226905584</v>
      </c>
      <c r="L126" s="63">
        <f>A126*Table!$AC$9/$AC$16</f>
        <v>5477.5597500654894</v>
      </c>
      <c r="M126" s="63">
        <f>A126*Table!$AD$9/$AC$16</f>
        <v>1878.0204857367394</v>
      </c>
      <c r="N126" s="63">
        <f>ABS(A126*Table!$AE$9/$AC$16)</f>
        <v>2371.8529471519273</v>
      </c>
      <c r="O126" s="63">
        <f>($L126*(Table!$AC$10/Table!$AC$9)/(Table!$AC$12-Table!$AC$14))</f>
        <v>11749.37741326789</v>
      </c>
      <c r="P126" s="63">
        <f>ROUND(($N126*(Table!$AE$10/Table!$AE$9)/(Table!$AC$12-Table!$AC$13)),2)</f>
        <v>19473.34</v>
      </c>
      <c r="Q126" s="63">
        <f>'Raw Data'!C126</f>
        <v>1.3982000000000001</v>
      </c>
      <c r="R126" s="63">
        <f>'Raw Data'!C126/'Raw Data'!I$30*100</f>
        <v>12.735048265930526</v>
      </c>
      <c r="S126" s="10">
        <f t="shared" si="7"/>
        <v>2.4271844660196638E-2</v>
      </c>
      <c r="T126" s="10">
        <f t="shared" si="8"/>
        <v>3.1407636646996195E-7</v>
      </c>
      <c r="U126" s="41">
        <f t="shared" si="9"/>
        <v>5.2203819133228872E-4</v>
      </c>
      <c r="V126" s="41">
        <f t="shared" si="10"/>
        <v>1.1235889125060805E-3</v>
      </c>
      <c r="W126" s="41">
        <f t="shared" si="11"/>
        <v>4.2828147588140995E-8</v>
      </c>
      <c r="X126" s="107">
        <f t="shared" si="12"/>
        <v>0.33813873077893764</v>
      </c>
      <c r="Z126" s="84"/>
      <c r="AS126" s="157"/>
      <c r="AT126" s="157"/>
    </row>
    <row r="127" spans="1:46" x14ac:dyDescent="0.2">
      <c r="A127" s="63">
        <v>26696.29296875</v>
      </c>
      <c r="B127" s="84">
        <v>0.99502946815309234</v>
      </c>
      <c r="C127" s="84">
        <f t="shared" si="1"/>
        <v>4.9705318469076554E-3</v>
      </c>
      <c r="D127" s="62">
        <f t="shared" si="2"/>
        <v>2.2012355322018617E-3</v>
      </c>
      <c r="E127" s="50">
        <f>(2*Table!$AC$16*0.147)/A127</f>
        <v>3.4332514020764134E-3</v>
      </c>
      <c r="F127" s="50">
        <f t="shared" si="3"/>
        <v>6.8665028041528268E-3</v>
      </c>
      <c r="G127" s="63">
        <f>IF((('Raw Data'!C127)/('Raw Data'!C$136)*100)&lt;0,0,('Raw Data'!C127)/('Raw Data'!C$136)*100)</f>
        <v>99.50294681530923</v>
      </c>
      <c r="H127" s="63">
        <f t="shared" si="4"/>
        <v>0.2201235532201764</v>
      </c>
      <c r="I127" s="36">
        <f t="shared" si="5"/>
        <v>3.9152640729472665E-2</v>
      </c>
      <c r="J127" s="50">
        <f>'Raw Data'!F127/I127</f>
        <v>5.6221891836400521E-2</v>
      </c>
      <c r="K127" s="24">
        <f t="shared" si="6"/>
        <v>46.914354155565746</v>
      </c>
      <c r="L127" s="63">
        <f>A127*Table!$AC$9/$AC$16</f>
        <v>5994.3178025219231</v>
      </c>
      <c r="M127" s="63">
        <f>A127*Table!$AD$9/$AC$16</f>
        <v>2055.1946751503738</v>
      </c>
      <c r="N127" s="63">
        <f>ABS(A127*Table!$AE$9/$AC$16)</f>
        <v>2595.6157476706489</v>
      </c>
      <c r="O127" s="63">
        <f>($L127*(Table!$AC$10/Table!$AC$9)/(Table!$AC$12-Table!$AC$14))</f>
        <v>12857.82454423407</v>
      </c>
      <c r="P127" s="63">
        <f>ROUND(($N127*(Table!$AE$10/Table!$AE$9)/(Table!$AC$12-Table!$AC$13)),2)</f>
        <v>21310.47</v>
      </c>
      <c r="Q127" s="63">
        <f>'Raw Data'!C127</f>
        <v>1.4013</v>
      </c>
      <c r="R127" s="63">
        <f>'Raw Data'!C127/'Raw Data'!I$30*100</f>
        <v>12.763283603953973</v>
      </c>
      <c r="S127" s="10">
        <f t="shared" si="7"/>
        <v>3.0097087378639639E-2</v>
      </c>
      <c r="T127" s="10">
        <f t="shared" si="8"/>
        <v>1.8293169790073449E-7</v>
      </c>
      <c r="U127" s="41">
        <f t="shared" si="9"/>
        <v>4.780919814932488E-4</v>
      </c>
      <c r="V127" s="41">
        <f t="shared" si="10"/>
        <v>9.6833755239224013E-4</v>
      </c>
      <c r="W127" s="41">
        <f t="shared" si="11"/>
        <v>4.4345105690004323E-8</v>
      </c>
      <c r="X127" s="107">
        <f t="shared" si="12"/>
        <v>0.33813877512404333</v>
      </c>
      <c r="Z127" s="84"/>
      <c r="AS127" s="157"/>
      <c r="AT127" s="157"/>
    </row>
    <row r="128" spans="1:46" x14ac:dyDescent="0.2">
      <c r="A128" s="63">
        <v>29294.11328125</v>
      </c>
      <c r="B128" s="84">
        <v>0.99687566569622932</v>
      </c>
      <c r="C128" s="84">
        <f t="shared" si="1"/>
        <v>3.1243343037706817E-3</v>
      </c>
      <c r="D128" s="62">
        <f t="shared" si="2"/>
        <v>1.8461975431369737E-3</v>
      </c>
      <c r="E128" s="50">
        <f>(2*Table!$AC$16*0.147)/A128</f>
        <v>3.1287885175165352E-3</v>
      </c>
      <c r="F128" s="50">
        <f t="shared" si="3"/>
        <v>6.2575770350330705E-3</v>
      </c>
      <c r="G128" s="63">
        <f>IF((('Raw Data'!C128)/('Raw Data'!C$136)*100)&lt;0,0,('Raw Data'!C128)/('Raw Data'!C$136)*100)</f>
        <v>99.687566569622959</v>
      </c>
      <c r="H128" s="63">
        <f t="shared" si="4"/>
        <v>0.18461975431372935</v>
      </c>
      <c r="I128" s="36">
        <f t="shared" si="5"/>
        <v>4.0329396977353049E-2</v>
      </c>
      <c r="J128" s="50">
        <f>'Raw Data'!F128/I128</f>
        <v>4.5777960532708363E-2</v>
      </c>
      <c r="K128" s="24">
        <f t="shared" si="6"/>
        <v>51.479597064602267</v>
      </c>
      <c r="L128" s="63">
        <f>A128*Table!$AC$9/$AC$16</f>
        <v>6577.6257758499132</v>
      </c>
      <c r="M128" s="63">
        <f>A128*Table!$AD$9/$AC$16</f>
        <v>2255.1859802913987</v>
      </c>
      <c r="N128" s="63">
        <f>ABS(A128*Table!$AE$9/$AC$16)</f>
        <v>2848.1955092366761</v>
      </c>
      <c r="O128" s="63">
        <f>($L128*(Table!$AC$10/Table!$AC$9)/(Table!$AC$12-Table!$AC$14))</f>
        <v>14109.021398219464</v>
      </c>
      <c r="P128" s="63">
        <f>ROUND(($N128*(Table!$AE$10/Table!$AE$9)/(Table!$AC$12-Table!$AC$13)),2)</f>
        <v>23384.2</v>
      </c>
      <c r="Q128" s="63">
        <f>'Raw Data'!C128</f>
        <v>1.4039000000000001</v>
      </c>
      <c r="R128" s="63">
        <f>'Raw Data'!C128/'Raw Data'!I$30*100</f>
        <v>12.786964855199448</v>
      </c>
      <c r="S128" s="10">
        <f t="shared" si="7"/>
        <v>2.5242718446600008E-2</v>
      </c>
      <c r="T128" s="10">
        <f t="shared" si="8"/>
        <v>9.1582760486375037E-8</v>
      </c>
      <c r="U128" s="41">
        <f t="shared" si="9"/>
        <v>4.3650288139576076E-4</v>
      </c>
      <c r="V128" s="41">
        <f t="shared" si="10"/>
        <v>8.3021601537600727E-4</v>
      </c>
      <c r="W128" s="41">
        <f t="shared" si="11"/>
        <v>3.0888623455207128E-8</v>
      </c>
      <c r="X128" s="107">
        <f t="shared" si="12"/>
        <v>0.33813880601266677</v>
      </c>
      <c r="Z128" s="84"/>
      <c r="AS128" s="157"/>
      <c r="AT128" s="157"/>
    </row>
    <row r="129" spans="1:46" x14ac:dyDescent="0.2">
      <c r="A129" s="63">
        <v>31996.6171875</v>
      </c>
      <c r="B129" s="84">
        <v>0.99687566569622932</v>
      </c>
      <c r="C129" s="84">
        <f t="shared" si="1"/>
        <v>3.1243343037706817E-3</v>
      </c>
      <c r="D129" s="62">
        <f t="shared" si="2"/>
        <v>0</v>
      </c>
      <c r="E129" s="50">
        <f>(2*Table!$AC$16*0.147)/A129</f>
        <v>2.8645242316744095E-3</v>
      </c>
      <c r="F129" s="50">
        <f t="shared" si="3"/>
        <v>5.729048463348819E-3</v>
      </c>
      <c r="G129" s="63">
        <f>IF((('Raw Data'!C129)/('Raw Data'!C$136)*100)&lt;0,0,('Raw Data'!C129)/('Raw Data'!C$136)*100)</f>
        <v>99.687566569622959</v>
      </c>
      <c r="H129" s="63">
        <f t="shared" si="4"/>
        <v>0</v>
      </c>
      <c r="I129" s="36">
        <f t="shared" si="5"/>
        <v>3.8323708711049509E-2</v>
      </c>
      <c r="J129" s="50">
        <f>'Raw Data'!F129/I129</f>
        <v>0</v>
      </c>
      <c r="K129" s="24">
        <f t="shared" si="6"/>
        <v>56.228804211565524</v>
      </c>
      <c r="L129" s="63">
        <f>A129*Table!$AC$9/$AC$16</f>
        <v>7184.439137374763</v>
      </c>
      <c r="M129" s="63">
        <f>A129*Table!$AD$9/$AC$16</f>
        <v>2463.2362756713474</v>
      </c>
      <c r="N129" s="63">
        <f>ABS(A129*Table!$AE$9/$AC$16)</f>
        <v>3110.9534024548516</v>
      </c>
      <c r="O129" s="63">
        <f>($L129*(Table!$AC$10/Table!$AC$9)/(Table!$AC$12-Table!$AC$14))</f>
        <v>15410.637360306229</v>
      </c>
      <c r="P129" s="63">
        <f>ROUND(($N129*(Table!$AE$10/Table!$AE$9)/(Table!$AC$12-Table!$AC$13)),2)</f>
        <v>25541.49</v>
      </c>
      <c r="Q129" s="63">
        <f>'Raw Data'!C129</f>
        <v>1.4039000000000001</v>
      </c>
      <c r="R129" s="63">
        <f>'Raw Data'!C129/'Raw Data'!I$30*100</f>
        <v>12.786964855199448</v>
      </c>
      <c r="S129" s="10">
        <f t="shared" si="7"/>
        <v>0</v>
      </c>
      <c r="T129" s="10">
        <f t="shared" si="8"/>
        <v>9.1582760486375037E-8</v>
      </c>
      <c r="U129" s="41">
        <f t="shared" si="9"/>
        <v>3.9963489828527511E-4</v>
      </c>
      <c r="V129" s="41">
        <f t="shared" si="10"/>
        <v>7.1513118269443611E-4</v>
      </c>
      <c r="W129" s="41">
        <f t="shared" si="11"/>
        <v>0</v>
      </c>
      <c r="X129" s="107">
        <f t="shared" si="12"/>
        <v>0.33813880601266677</v>
      </c>
      <c r="Z129" s="84"/>
      <c r="AS129" s="157"/>
      <c r="AT129" s="157"/>
    </row>
    <row r="130" spans="1:46" x14ac:dyDescent="0.2">
      <c r="A130" s="63">
        <v>34997.03515625</v>
      </c>
      <c r="B130" s="84">
        <v>0.99829581765248865</v>
      </c>
      <c r="C130" s="84">
        <f t="shared" si="1"/>
        <v>1.7041823475113516E-3</v>
      </c>
      <c r="D130" s="62">
        <f t="shared" si="2"/>
        <v>1.4201519562593301E-3</v>
      </c>
      <c r="E130" s="50">
        <f>(2*Table!$AC$16*0.147)/A130</f>
        <v>2.6189385716817006E-3</v>
      </c>
      <c r="F130" s="50">
        <f t="shared" si="3"/>
        <v>5.2378771433634012E-3</v>
      </c>
      <c r="G130" s="63">
        <f>IF((('Raw Data'!C130)/('Raw Data'!C$136)*100)&lt;0,0,('Raw Data'!C130)/('Raw Data'!C$136)*100)</f>
        <v>99.829581765248861</v>
      </c>
      <c r="H130" s="63">
        <f t="shared" si="4"/>
        <v>0.14201519562590192</v>
      </c>
      <c r="I130" s="36">
        <f t="shared" si="5"/>
        <v>3.8927188415979863E-2</v>
      </c>
      <c r="J130" s="50">
        <f>'Raw Data'!F130/I130</f>
        <v>3.6482263786513966E-2</v>
      </c>
      <c r="K130" s="24">
        <f t="shared" si="6"/>
        <v>61.501546437066033</v>
      </c>
      <c r="L130" s="63">
        <f>A130*Table!$AC$9/$AC$16</f>
        <v>7858.1453656566491</v>
      </c>
      <c r="M130" s="63">
        <f>A130*Table!$AD$9/$AC$16</f>
        <v>2694.221268225137</v>
      </c>
      <c r="N130" s="63">
        <f>ABS(A130*Table!$AE$9/$AC$16)</f>
        <v>3402.6767566448075</v>
      </c>
      <c r="O130" s="63">
        <f>($L130*(Table!$AC$10/Table!$AC$9)/(Table!$AC$12-Table!$AC$14))</f>
        <v>16855.738665072182</v>
      </c>
      <c r="P130" s="63">
        <f>ROUND(($N130*(Table!$AE$10/Table!$AE$9)/(Table!$AC$12-Table!$AC$13)),2)</f>
        <v>27936.59</v>
      </c>
      <c r="Q130" s="63">
        <f>'Raw Data'!C130</f>
        <v>1.4058999999999999</v>
      </c>
      <c r="R130" s="63">
        <f>'Raw Data'!C130/'Raw Data'!I$30*100</f>
        <v>12.805181202311347</v>
      </c>
      <c r="S130" s="10">
        <f t="shared" si="7"/>
        <v>1.9417475728155487E-2</v>
      </c>
      <c r="T130" s="10">
        <f t="shared" si="8"/>
        <v>4.234952777348866E-8</v>
      </c>
      <c r="U130" s="41">
        <f t="shared" si="9"/>
        <v>3.6589331482339907E-4</v>
      </c>
      <c r="V130" s="41">
        <f t="shared" si="10"/>
        <v>6.1603489362869221E-4</v>
      </c>
      <c r="W130" s="41">
        <f t="shared" si="11"/>
        <v>1.6647668063694755E-8</v>
      </c>
      <c r="X130" s="107">
        <f t="shared" si="12"/>
        <v>0.33813882266033485</v>
      </c>
      <c r="Z130" s="84"/>
      <c r="AS130" s="157"/>
      <c r="AT130" s="157"/>
    </row>
    <row r="131" spans="1:46" x14ac:dyDescent="0.2">
      <c r="A131" s="63">
        <v>38286.2265625</v>
      </c>
      <c r="B131" s="84">
        <v>0.9993609316196832</v>
      </c>
      <c r="C131" s="84">
        <f t="shared" si="1"/>
        <v>6.3906838031679847E-4</v>
      </c>
      <c r="D131" s="62">
        <f t="shared" si="2"/>
        <v>1.0651139671945531E-3</v>
      </c>
      <c r="E131" s="50">
        <f>(2*Table!$AC$16*0.147)/A131</f>
        <v>2.3939440758305635E-3</v>
      </c>
      <c r="F131" s="50">
        <f t="shared" si="3"/>
        <v>4.7878881516611269E-3</v>
      </c>
      <c r="G131" s="63">
        <f>IF((('Raw Data'!C131)/('Raw Data'!C$136)*100)&lt;0,0,('Raw Data'!C131)/('Raw Data'!C$136)*100)</f>
        <v>99.936093161968316</v>
      </c>
      <c r="H131" s="63">
        <f t="shared" si="4"/>
        <v>0.10651139671945486</v>
      </c>
      <c r="I131" s="36">
        <f t="shared" si="5"/>
        <v>3.9011311209839139E-2</v>
      </c>
      <c r="J131" s="50">
        <f>'Raw Data'!F131/I131</f>
        <v>2.7302695914663798E-2</v>
      </c>
      <c r="K131" s="24">
        <f t="shared" si="6"/>
        <v>67.281760592600179</v>
      </c>
      <c r="L131" s="63">
        <f>A131*Table!$AC$9/$AC$16</f>
        <v>8596.6920479794007</v>
      </c>
      <c r="M131" s="63">
        <f>A131*Table!$AD$9/$AC$16</f>
        <v>2947.4372735929369</v>
      </c>
      <c r="N131" s="63">
        <f>ABS(A131*Table!$AE$9/$AC$16)</f>
        <v>3722.4768510309168</v>
      </c>
      <c r="O131" s="63">
        <f>($L131*(Table!$AC$10/Table!$AC$9)/(Table!$AC$12-Table!$AC$14))</f>
        <v>18439.922882838699</v>
      </c>
      <c r="P131" s="63">
        <f>ROUND(($N131*(Table!$AE$10/Table!$AE$9)/(Table!$AC$12-Table!$AC$13)),2)</f>
        <v>30562.21</v>
      </c>
      <c r="Q131" s="63">
        <f>'Raw Data'!C131</f>
        <v>1.4074</v>
      </c>
      <c r="R131" s="63">
        <f>'Raw Data'!C131/'Raw Data'!I$30*100</f>
        <v>12.818843462645274</v>
      </c>
      <c r="S131" s="10">
        <f t="shared" si="7"/>
        <v>1.4563106796117374E-2</v>
      </c>
      <c r="T131" s="10">
        <f t="shared" si="8"/>
        <v>1.1496556595602669E-8</v>
      </c>
      <c r="U131" s="41">
        <f t="shared" si="9"/>
        <v>3.3481605824275398E-4</v>
      </c>
      <c r="V131" s="41">
        <f t="shared" si="10"/>
        <v>5.3017630468878282E-4</v>
      </c>
      <c r="W131" s="41">
        <f t="shared" si="11"/>
        <v>1.0432587812265642E-8</v>
      </c>
      <c r="X131" s="107">
        <f t="shared" si="12"/>
        <v>0.33813883309292264</v>
      </c>
      <c r="Z131" s="84"/>
      <c r="AS131" s="157"/>
      <c r="AT131" s="157"/>
    </row>
    <row r="132" spans="1:46" x14ac:dyDescent="0.2">
      <c r="A132" s="63">
        <v>41872.48046875</v>
      </c>
      <c r="B132" s="84">
        <v>0.99943193921749618</v>
      </c>
      <c r="C132" s="84">
        <f t="shared" si="1"/>
        <v>5.6806078250382086E-4</v>
      </c>
      <c r="D132" s="62">
        <f t="shared" si="2"/>
        <v>7.1007597812977608E-5</v>
      </c>
      <c r="E132" s="50">
        <f>(2*Table!$AC$16*0.147)/A132</f>
        <v>2.18890985771925E-3</v>
      </c>
      <c r="F132" s="50">
        <f t="shared" si="3"/>
        <v>4.3778197154384999E-3</v>
      </c>
      <c r="G132" s="63">
        <f>IF((('Raw Data'!C132)/('Raw Data'!C$136)*100)&lt;0,0,('Raw Data'!C132)/('Raw Data'!C$136)*100)</f>
        <v>99.943193921749625</v>
      </c>
      <c r="H132" s="63">
        <f t="shared" si="4"/>
        <v>7.1007597813093071E-3</v>
      </c>
      <c r="I132" s="36">
        <f t="shared" si="5"/>
        <v>3.8886123673441464E-2</v>
      </c>
      <c r="J132" s="50">
        <f>'Raw Data'!F132/I132</f>
        <v>1.826039499575669E-3</v>
      </c>
      <c r="K132" s="24">
        <f t="shared" si="6"/>
        <v>73.584013345315299</v>
      </c>
      <c r="L132" s="63">
        <f>A132*Table!$AC$9/$AC$16</f>
        <v>9401.9403893787912</v>
      </c>
      <c r="M132" s="63">
        <f>A132*Table!$AD$9/$AC$16</f>
        <v>3223.5224192155856</v>
      </c>
      <c r="N132" s="63">
        <f>ABS(A132*Table!$AE$9/$AC$16)</f>
        <v>4071.1596110344949</v>
      </c>
      <c r="O132" s="63">
        <f>($L132*(Table!$AC$10/Table!$AC$9)/(Table!$AC$12-Table!$AC$14))</f>
        <v>20167.182302399811</v>
      </c>
      <c r="P132" s="63">
        <f>ROUND(($N132*(Table!$AE$10/Table!$AE$9)/(Table!$AC$12-Table!$AC$13)),2)</f>
        <v>33424.959999999999</v>
      </c>
      <c r="Q132" s="63">
        <f>'Raw Data'!C132</f>
        <v>1.4075000000000002</v>
      </c>
      <c r="R132" s="63">
        <f>'Raw Data'!C132/'Raw Data'!I$30*100</f>
        <v>12.81975428000087</v>
      </c>
      <c r="S132" s="10">
        <f t="shared" si="7"/>
        <v>9.7087378640792611E-4</v>
      </c>
      <c r="T132" s="10">
        <f t="shared" si="8"/>
        <v>9.7769325968499743E-9</v>
      </c>
      <c r="U132" s="41">
        <f t="shared" si="9"/>
        <v>3.061618069072461E-4</v>
      </c>
      <c r="V132" s="41">
        <f t="shared" si="10"/>
        <v>4.5573885572201383E-4</v>
      </c>
      <c r="W132" s="41">
        <f t="shared" si="11"/>
        <v>5.8147164626472002E-10</v>
      </c>
      <c r="X132" s="107">
        <f t="shared" si="12"/>
        <v>0.33813883367439429</v>
      </c>
      <c r="Z132" s="84"/>
      <c r="AS132" s="157"/>
      <c r="AT132" s="157"/>
    </row>
    <row r="133" spans="1:46" x14ac:dyDescent="0.2">
      <c r="A133" s="63">
        <v>45770.72265625</v>
      </c>
      <c r="B133" s="84">
        <v>0.99971596960874798</v>
      </c>
      <c r="C133" s="84">
        <f t="shared" si="1"/>
        <v>2.8403039125202145E-4</v>
      </c>
      <c r="D133" s="62">
        <f t="shared" si="2"/>
        <v>2.8403039125179941E-4</v>
      </c>
      <c r="E133" s="50">
        <f>(2*Table!$AC$16*0.147)/A133</f>
        <v>2.0024828087936717E-3</v>
      </c>
      <c r="F133" s="50">
        <f t="shared" si="3"/>
        <v>4.0049656175873433E-3</v>
      </c>
      <c r="G133" s="63">
        <f>IF((('Raw Data'!C133)/('Raw Data'!C$136)*100)&lt;0,0,('Raw Data'!C133)/('Raw Data'!C$136)*100)</f>
        <v>99.97159696087482</v>
      </c>
      <c r="H133" s="63">
        <f t="shared" si="4"/>
        <v>2.8403039125194596E-2</v>
      </c>
      <c r="I133" s="36">
        <f t="shared" si="5"/>
        <v>3.8659080721890504E-2</v>
      </c>
      <c r="J133" s="50">
        <f>'Raw Data'!F133/I133</f>
        <v>7.3470549725482654E-3</v>
      </c>
      <c r="K133" s="24">
        <f t="shared" si="6"/>
        <v>80.434534306507231</v>
      </c>
      <c r="L133" s="63">
        <f>A133*Table!$AC$9/$AC$16</f>
        <v>10277.241786858449</v>
      </c>
      <c r="M133" s="63">
        <f>A133*Table!$AD$9/$AC$16</f>
        <v>3523.6257554943254</v>
      </c>
      <c r="N133" s="63">
        <f>ABS(A133*Table!$AE$9/$AC$16)</f>
        <v>4450.1762341271969</v>
      </c>
      <c r="O133" s="63">
        <f>($L133*(Table!$AC$10/Table!$AC$9)/(Table!$AC$12-Table!$AC$14))</f>
        <v>22044.705677517053</v>
      </c>
      <c r="P133" s="63">
        <f>ROUND(($N133*(Table!$AE$10/Table!$AE$9)/(Table!$AC$12-Table!$AC$13)),2)</f>
        <v>36536.75</v>
      </c>
      <c r="Q133" s="63">
        <f>'Raw Data'!C133</f>
        <v>1.4079000000000002</v>
      </c>
      <c r="R133" s="63">
        <f>'Raw Data'!C133/'Raw Data'!I$30*100</f>
        <v>12.823397549423252</v>
      </c>
      <c r="S133" s="10">
        <f t="shared" si="7"/>
        <v>3.8834951456301866E-3</v>
      </c>
      <c r="T133" s="10">
        <f t="shared" si="8"/>
        <v>4.0202097206787357E-9</v>
      </c>
      <c r="U133" s="41">
        <f t="shared" si="9"/>
        <v>2.8016594026120789E-4</v>
      </c>
      <c r="V133" s="41">
        <f t="shared" si="10"/>
        <v>3.9224031644243256E-4</v>
      </c>
      <c r="W133" s="41">
        <f t="shared" si="11"/>
        <v>1.9465715531617874E-9</v>
      </c>
      <c r="X133" s="107">
        <f t="shared" si="12"/>
        <v>0.33813883562096586</v>
      </c>
      <c r="Z133" s="84"/>
      <c r="AS133" s="157"/>
      <c r="AT133" s="157"/>
    </row>
    <row r="134" spans="1:46" x14ac:dyDescent="0.2">
      <c r="A134" s="63">
        <v>50071.546875</v>
      </c>
      <c r="B134" s="84">
        <v>0.99971596960874798</v>
      </c>
      <c r="C134" s="84">
        <f t="shared" si="1"/>
        <v>2.8403039125202145E-4</v>
      </c>
      <c r="D134" s="62">
        <f t="shared" si="2"/>
        <v>0</v>
      </c>
      <c r="E134" s="50">
        <f>(2*Table!$AC$16*0.147)/A134</f>
        <v>1.8304823993956876E-3</v>
      </c>
      <c r="F134" s="50">
        <f t="shared" si="3"/>
        <v>3.6609647987913751E-3</v>
      </c>
      <c r="G134" s="63">
        <f>IF((('Raw Data'!C134)/('Raw Data'!C$136)*100)&lt;0,0,('Raw Data'!C134)/('Raw Data'!C$136)*100)</f>
        <v>99.97159696087482</v>
      </c>
      <c r="H134" s="63">
        <f t="shared" si="4"/>
        <v>0</v>
      </c>
      <c r="I134" s="36">
        <f t="shared" si="5"/>
        <v>3.9003239003954082E-2</v>
      </c>
      <c r="J134" s="50">
        <f>'Raw Data'!F134/I134</f>
        <v>0</v>
      </c>
      <c r="K134" s="24">
        <f t="shared" si="6"/>
        <v>87.992527125789621</v>
      </c>
      <c r="L134" s="63">
        <f>A134*Table!$AC$9/$AC$16</f>
        <v>11242.937930894199</v>
      </c>
      <c r="M134" s="63">
        <f>A134*Table!$AD$9/$AC$16</f>
        <v>3854.7215763065824</v>
      </c>
      <c r="N134" s="63">
        <f>ABS(A134*Table!$AE$9/$AC$16)</f>
        <v>4868.3349306630153</v>
      </c>
      <c r="O134" s="63">
        <f>($L134*(Table!$AC$10/Table!$AC$9)/(Table!$AC$12-Table!$AC$14))</f>
        <v>24116.12597789404</v>
      </c>
      <c r="P134" s="63">
        <f>ROUND(($N134*(Table!$AE$10/Table!$AE$9)/(Table!$AC$12-Table!$AC$13)),2)</f>
        <v>39969.910000000003</v>
      </c>
      <c r="Q134" s="63">
        <f>'Raw Data'!C134</f>
        <v>1.4079000000000002</v>
      </c>
      <c r="R134" s="63">
        <f>'Raw Data'!C134/'Raw Data'!I$30*100</f>
        <v>12.823397549423252</v>
      </c>
      <c r="S134" s="10">
        <f t="shared" si="7"/>
        <v>0</v>
      </c>
      <c r="T134" s="10">
        <f t="shared" si="8"/>
        <v>4.0202097206787357E-9</v>
      </c>
      <c r="U134" s="41">
        <f t="shared" si="9"/>
        <v>2.5610148576867291E-4</v>
      </c>
      <c r="V134" s="41">
        <f t="shared" si="10"/>
        <v>3.3697505545280889E-4</v>
      </c>
      <c r="W134" s="41">
        <f t="shared" si="11"/>
        <v>0</v>
      </c>
      <c r="X134" s="107">
        <f t="shared" si="12"/>
        <v>0.33813883562096586</v>
      </c>
      <c r="Z134" s="84"/>
      <c r="AS134" s="157"/>
      <c r="AT134" s="157"/>
    </row>
    <row r="135" spans="1:46" x14ac:dyDescent="0.2">
      <c r="A135" s="63">
        <v>54771.05078125</v>
      </c>
      <c r="B135" s="84">
        <v>1</v>
      </c>
      <c r="C135" s="84">
        <f t="shared" si="1"/>
        <v>0</v>
      </c>
      <c r="D135" s="62">
        <f t="shared" si="2"/>
        <v>2.8403039125202145E-4</v>
      </c>
      <c r="E135" s="50">
        <f>(2*Table!$AC$16*0.147)/A135</f>
        <v>1.6734220716572467E-3</v>
      </c>
      <c r="F135" s="50">
        <f t="shared" si="3"/>
        <v>3.3468441433144934E-3</v>
      </c>
      <c r="G135" s="63">
        <f>IF((('Raw Data'!C135)/('Raw Data'!C$136)*100)&lt;0,0,('Raw Data'!C135)/('Raw Data'!C$136)*100)</f>
        <v>100</v>
      </c>
      <c r="H135" s="63">
        <f t="shared" si="4"/>
        <v>2.8403039125180385E-2</v>
      </c>
      <c r="I135" s="36">
        <f t="shared" si="5"/>
        <v>3.8960064544459438E-2</v>
      </c>
      <c r="J135" s="50">
        <f>'Raw Data'!F135/I135</f>
        <v>7.2902957059446591E-3</v>
      </c>
      <c r="K135" s="24">
        <f t="shared" si="6"/>
        <v>96.251134074378285</v>
      </c>
      <c r="L135" s="63">
        <f>A135*Table!$AC$9/$AC$16</f>
        <v>12298.152599134137</v>
      </c>
      <c r="M135" s="63">
        <f>A135*Table!$AD$9/$AC$16</f>
        <v>4216.5094625602751</v>
      </c>
      <c r="N135" s="63">
        <f>ABS(A135*Table!$AE$9/$AC$16)</f>
        <v>5325.2562852338924</v>
      </c>
      <c r="O135" s="63">
        <f>($L135*(Table!$AC$10/Table!$AC$9)/(Table!$AC$12-Table!$AC$14))</f>
        <v>26379.563704706434</v>
      </c>
      <c r="P135" s="63">
        <f>ROUND(($N135*(Table!$AE$10/Table!$AE$9)/(Table!$AC$12-Table!$AC$13)),2)</f>
        <v>43721.32</v>
      </c>
      <c r="Q135" s="63">
        <f>'Raw Data'!C135</f>
        <v>1.4083000000000001</v>
      </c>
      <c r="R135" s="63">
        <f>'Raw Data'!C135/'Raw Data'!I$30*100</f>
        <v>12.827040818845632</v>
      </c>
      <c r="S135" s="10">
        <f t="shared" si="7"/>
        <v>3.8834951456332228E-3</v>
      </c>
      <c r="T135" s="10">
        <f t="shared" si="8"/>
        <v>0</v>
      </c>
      <c r="U135" s="41">
        <f t="shared" si="9"/>
        <v>2.3419380559404506E-4</v>
      </c>
      <c r="V135" s="41">
        <f t="shared" si="10"/>
        <v>2.8968426342116895E-4</v>
      </c>
      <c r="W135" s="41">
        <f t="shared" si="11"/>
        <v>1.3593890436462062E-9</v>
      </c>
      <c r="X135" s="107">
        <f t="shared" si="12"/>
        <v>0.33813883698035491</v>
      </c>
      <c r="AS135" s="157"/>
      <c r="AT135" s="157"/>
    </row>
    <row r="136" spans="1:46" x14ac:dyDescent="0.2">
      <c r="A136" s="63">
        <v>59468.6875</v>
      </c>
      <c r="B136" s="84">
        <v>1</v>
      </c>
      <c r="C136" s="84">
        <f t="shared" si="1"/>
        <v>0</v>
      </c>
      <c r="D136" s="62">
        <f t="shared" si="2"/>
        <v>0</v>
      </c>
      <c r="E136" s="50">
        <f>(2*Table!$AC$16*0.147)/A136</f>
        <v>1.5412326909889115E-3</v>
      </c>
      <c r="F136" s="50">
        <f t="shared" si="3"/>
        <v>3.082465381977823E-3</v>
      </c>
      <c r="G136" s="63">
        <f>IF((('Raw Data'!C136)/('Raw Data'!C$136)*100)&lt;0,0,('Raw Data'!C136)/('Raw Data'!C$136)*100)</f>
        <v>100</v>
      </c>
      <c r="H136" s="63">
        <f t="shared" si="4"/>
        <v>0</v>
      </c>
      <c r="I136" s="36">
        <f t="shared" si="5"/>
        <v>3.5737280597901933E-2</v>
      </c>
      <c r="J136" s="50">
        <f>'Raw Data'!F136/I136</f>
        <v>0</v>
      </c>
      <c r="K136" s="24">
        <f t="shared" si="6"/>
        <v>104.50645974733243</v>
      </c>
      <c r="L136" s="63">
        <f>A136*Table!$AC$9/$AC$16</f>
        <v>13352.948013836325</v>
      </c>
      <c r="M136" s="63">
        <f>A136*Table!$AD$9/$AC$16</f>
        <v>4578.1536047438831</v>
      </c>
      <c r="N136" s="63">
        <f>ABS(A136*Table!$AE$9/$AC$16)</f>
        <v>5781.9960976976117</v>
      </c>
      <c r="O136" s="63">
        <f>($L136*(Table!$AC$10/Table!$AC$9)/(Table!$AC$12-Table!$AC$14))</f>
        <v>28642.102131781052</v>
      </c>
      <c r="P136" s="63">
        <f>ROUND(($N136*(Table!$AE$10/Table!$AE$9)/(Table!$AC$12-Table!$AC$13)),2)</f>
        <v>47471.23</v>
      </c>
      <c r="Q136" s="63">
        <f>'Raw Data'!C136</f>
        <v>1.4083000000000001</v>
      </c>
      <c r="R136" s="63">
        <f>'Raw Data'!C136/'Raw Data'!I$30*100</f>
        <v>12.827040818845632</v>
      </c>
      <c r="S136" s="10">
        <f t="shared" si="7"/>
        <v>0</v>
      </c>
      <c r="T136" s="10">
        <f t="shared" si="8"/>
        <v>0</v>
      </c>
      <c r="U136" s="41">
        <f t="shared" si="9"/>
        <v>2.1569402921235871E-4</v>
      </c>
      <c r="V136" s="41">
        <f t="shared" si="10"/>
        <v>2.5205374937548058E-4</v>
      </c>
      <c r="W136" s="41">
        <f t="shared" si="11"/>
        <v>0</v>
      </c>
      <c r="X136" s="107">
        <f t="shared" si="12"/>
        <v>0.33813883698035491</v>
      </c>
      <c r="AS136" s="157"/>
      <c r="AT136" s="157"/>
    </row>
    <row r="137" spans="1:46" x14ac:dyDescent="0.2">
      <c r="A137" s="63"/>
      <c r="B137" s="84"/>
      <c r="C137" s="84"/>
      <c r="D137" s="69"/>
      <c r="E137" s="69"/>
      <c r="F137" s="69"/>
      <c r="G137" s="69"/>
      <c r="H137" s="69"/>
      <c r="I137" s="69"/>
      <c r="J137" s="50"/>
      <c r="K137" s="117"/>
      <c r="L137" s="63"/>
      <c r="M137" s="63"/>
      <c r="N137" s="63"/>
      <c r="O137" s="63"/>
      <c r="P137" s="63"/>
      <c r="Q137" s="63"/>
      <c r="AS137" s="157"/>
      <c r="AT137" s="157"/>
    </row>
    <row r="138" spans="1:46" x14ac:dyDescent="0.2">
      <c r="A138" s="63"/>
      <c r="B138" s="84"/>
      <c r="C138" s="84"/>
      <c r="D138" s="69"/>
      <c r="E138" s="69"/>
      <c r="F138" s="69"/>
      <c r="G138" s="69"/>
      <c r="H138" s="69"/>
      <c r="I138" s="69"/>
      <c r="J138" s="50"/>
      <c r="K138" s="117"/>
      <c r="L138" s="63"/>
      <c r="M138" s="63"/>
      <c r="N138" s="63"/>
      <c r="O138" s="63"/>
      <c r="P138" s="63"/>
      <c r="Q138" s="63"/>
      <c r="AS138" s="157"/>
      <c r="AT138" s="157"/>
    </row>
    <row r="139" spans="1:46" x14ac:dyDescent="0.2">
      <c r="A139" s="63"/>
      <c r="B139" s="84"/>
      <c r="C139" s="84"/>
      <c r="D139" s="69"/>
      <c r="E139" s="69"/>
      <c r="F139" s="69"/>
      <c r="G139" s="69"/>
      <c r="H139" s="69"/>
      <c r="I139" s="69"/>
      <c r="J139" s="50"/>
      <c r="K139" s="117"/>
      <c r="L139" s="63"/>
      <c r="M139" s="63"/>
      <c r="N139" s="63"/>
      <c r="O139" s="63"/>
      <c r="P139" s="63"/>
      <c r="Q139" s="63"/>
      <c r="AS139" s="157"/>
      <c r="AT139" s="157"/>
    </row>
    <row r="140" spans="1:46" x14ac:dyDescent="0.2">
      <c r="A140" s="63"/>
      <c r="B140" s="84"/>
      <c r="C140" s="84"/>
      <c r="D140" s="69"/>
      <c r="E140" s="69"/>
      <c r="F140" s="69"/>
      <c r="G140" s="69"/>
      <c r="H140" s="69"/>
      <c r="I140" s="69"/>
      <c r="J140" s="50"/>
      <c r="K140" s="117"/>
      <c r="L140" s="63"/>
      <c r="M140" s="63"/>
      <c r="N140" s="63"/>
      <c r="O140" s="63"/>
      <c r="P140" s="63"/>
      <c r="Q140" s="63"/>
      <c r="AS140" s="157"/>
      <c r="AT140" s="157"/>
    </row>
    <row r="141" spans="1:46" x14ac:dyDescent="0.2">
      <c r="A141" s="63"/>
      <c r="B141" s="84"/>
      <c r="C141" s="84"/>
      <c r="D141" s="69"/>
      <c r="E141" s="69"/>
      <c r="F141" s="69"/>
      <c r="G141" s="69"/>
      <c r="H141" s="69"/>
      <c r="I141" s="69"/>
      <c r="J141" s="50"/>
      <c r="K141" s="117"/>
      <c r="L141" s="63"/>
      <c r="M141" s="63"/>
      <c r="N141" s="63"/>
      <c r="O141" s="63"/>
      <c r="P141" s="63"/>
      <c r="Q141" s="63"/>
      <c r="AS141" s="157"/>
      <c r="AT141" s="157"/>
    </row>
    <row r="142" spans="1:46" x14ac:dyDescent="0.2">
      <c r="A142" s="63"/>
      <c r="B142" s="84"/>
      <c r="C142" s="84"/>
      <c r="D142" s="69"/>
      <c r="E142" s="69"/>
      <c r="F142" s="69"/>
      <c r="G142" s="69"/>
      <c r="H142" s="69"/>
      <c r="I142" s="69"/>
      <c r="J142" s="50"/>
      <c r="K142" s="117"/>
      <c r="L142" s="63"/>
      <c r="M142" s="63"/>
      <c r="N142" s="63"/>
      <c r="O142" s="63"/>
      <c r="P142" s="63"/>
      <c r="Q142" s="63"/>
      <c r="AS142" s="157"/>
      <c r="AT142" s="157"/>
    </row>
    <row r="143" spans="1:46" x14ac:dyDescent="0.2">
      <c r="J143" s="50"/>
      <c r="AS143" s="157"/>
      <c r="AT143" s="157"/>
    </row>
    <row r="144" spans="1:46" x14ac:dyDescent="0.2">
      <c r="J144" s="50"/>
      <c r="AS144" s="157"/>
      <c r="AT144" s="157"/>
    </row>
    <row r="145" spans="10:46" x14ac:dyDescent="0.2">
      <c r="J145" s="50"/>
      <c r="AS145" s="157"/>
      <c r="AT145" s="157"/>
    </row>
    <row r="146" spans="10:46" x14ac:dyDescent="0.2">
      <c r="J146" s="50"/>
      <c r="AS146" s="157"/>
      <c r="AT146" s="157"/>
    </row>
    <row r="147" spans="10:46" x14ac:dyDescent="0.2">
      <c r="J147" s="50"/>
      <c r="AS147" s="157"/>
      <c r="AT147" s="157"/>
    </row>
    <row r="148" spans="10:46" x14ac:dyDescent="0.2">
      <c r="J148" s="50"/>
      <c r="AS148" s="157"/>
      <c r="AT148" s="157"/>
    </row>
    <row r="149" spans="10:46" x14ac:dyDescent="0.2">
      <c r="J149" s="50"/>
      <c r="AS149" s="157"/>
      <c r="AT149" s="157"/>
    </row>
    <row r="150" spans="10:46" x14ac:dyDescent="0.2">
      <c r="J150" s="50"/>
      <c r="AS150" s="157"/>
      <c r="AT150" s="157"/>
    </row>
    <row r="151" spans="10:46" x14ac:dyDescent="0.2">
      <c r="J151" s="50"/>
      <c r="AS151" s="157"/>
      <c r="AT151" s="157"/>
    </row>
    <row r="152" spans="10:46" x14ac:dyDescent="0.2">
      <c r="J152" s="50"/>
      <c r="AS152" s="157"/>
      <c r="AT152" s="157"/>
    </row>
    <row r="153" spans="10:46" x14ac:dyDescent="0.2">
      <c r="J153" s="50"/>
      <c r="AS153" s="157"/>
      <c r="AT153" s="157"/>
    </row>
    <row r="154" spans="10:46" x14ac:dyDescent="0.2">
      <c r="J154" s="50"/>
      <c r="AS154" s="157"/>
      <c r="AT154" s="157"/>
    </row>
    <row r="155" spans="10:46" x14ac:dyDescent="0.2">
      <c r="J155" s="50"/>
      <c r="AS155" s="157"/>
      <c r="AT155" s="157"/>
    </row>
    <row r="156" spans="10:46" x14ac:dyDescent="0.2">
      <c r="J156" s="50"/>
      <c r="AS156" s="157"/>
      <c r="AT156" s="157"/>
    </row>
    <row r="157" spans="10:46" x14ac:dyDescent="0.2">
      <c r="J157" s="50"/>
      <c r="AS157" s="157"/>
      <c r="AT157" s="157"/>
    </row>
    <row r="158" spans="10:46" x14ac:dyDescent="0.2">
      <c r="J158" s="50"/>
      <c r="AS158" s="157"/>
      <c r="AT158" s="157"/>
    </row>
    <row r="159" spans="10:46" x14ac:dyDescent="0.2">
      <c r="J159" s="50"/>
      <c r="AS159" s="157"/>
      <c r="AT159" s="157"/>
    </row>
    <row r="160" spans="10:46" x14ac:dyDescent="0.2">
      <c r="J160" s="50"/>
      <c r="AS160" s="157"/>
      <c r="AT160" s="157"/>
    </row>
    <row r="161" spans="10:46" x14ac:dyDescent="0.2">
      <c r="J161" s="50"/>
      <c r="AS161" s="157"/>
      <c r="AT161" s="157"/>
    </row>
    <row r="162" spans="10:46" x14ac:dyDescent="0.2">
      <c r="J162" s="50"/>
    </row>
    <row r="163" spans="10:46" x14ac:dyDescent="0.2">
      <c r="J163" s="50"/>
    </row>
    <row r="164" spans="10:46" x14ac:dyDescent="0.2">
      <c r="J164" s="50"/>
    </row>
    <row r="165" spans="10:46" x14ac:dyDescent="0.2">
      <c r="J165" s="50"/>
    </row>
    <row r="166" spans="10:46" x14ac:dyDescent="0.2">
      <c r="J166" s="50"/>
    </row>
    <row r="167" spans="10:46" x14ac:dyDescent="0.2">
      <c r="J167" s="50"/>
    </row>
    <row r="168" spans="10:46" x14ac:dyDescent="0.2">
      <c r="J168" s="50"/>
    </row>
    <row r="169" spans="10:46" x14ac:dyDescent="0.2">
      <c r="J169" s="50"/>
    </row>
    <row r="170" spans="10:46" x14ac:dyDescent="0.2">
      <c r="J170" s="50"/>
    </row>
    <row r="171" spans="10:46" x14ac:dyDescent="0.2">
      <c r="J171" s="50"/>
    </row>
    <row r="172" spans="10:46" x14ac:dyDescent="0.2">
      <c r="J172" s="50"/>
    </row>
    <row r="173" spans="10:46" x14ac:dyDescent="0.2">
      <c r="J173" s="50"/>
    </row>
    <row r="174" spans="10:46" x14ac:dyDescent="0.2">
      <c r="J174" s="50"/>
    </row>
    <row r="175" spans="10:46" x14ac:dyDescent="0.2">
      <c r="J175" s="50"/>
    </row>
    <row r="176" spans="10:46" x14ac:dyDescent="0.2">
      <c r="J176" s="50"/>
    </row>
    <row r="177" spans="10:10" x14ac:dyDescent="0.2">
      <c r="J177" s="50"/>
    </row>
    <row r="178" spans="10:10" x14ac:dyDescent="0.2">
      <c r="J178" s="50"/>
    </row>
    <row r="179" spans="10:10" x14ac:dyDescent="0.2">
      <c r="J179" s="50"/>
    </row>
    <row r="180" spans="10:10" x14ac:dyDescent="0.2">
      <c r="J180" s="50"/>
    </row>
    <row r="181" spans="10:10" x14ac:dyDescent="0.2">
      <c r="J181" s="50"/>
    </row>
    <row r="182" spans="10:10" x14ac:dyDescent="0.2">
      <c r="J182" s="50"/>
    </row>
    <row r="183" spans="10:10" x14ac:dyDescent="0.2">
      <c r="J183" s="50"/>
    </row>
    <row r="184" spans="10:10" x14ac:dyDescent="0.2">
      <c r="J184" s="50"/>
    </row>
    <row r="185" spans="10:10" x14ac:dyDescent="0.2">
      <c r="J185" s="50"/>
    </row>
    <row r="186" spans="10:10" x14ac:dyDescent="0.2">
      <c r="J186" s="50"/>
    </row>
    <row r="187" spans="10:10" x14ac:dyDescent="0.2">
      <c r="J187" s="50"/>
    </row>
    <row r="188" spans="10:10" x14ac:dyDescent="0.2">
      <c r="J188" s="50"/>
    </row>
    <row r="189" spans="10:10" x14ac:dyDescent="0.2">
      <c r="J189" s="50"/>
    </row>
    <row r="190" spans="10:10" x14ac:dyDescent="0.2">
      <c r="J190" s="50"/>
    </row>
  </sheetData>
  <mergeCells count="3">
    <mergeCell ref="AR4:AT4"/>
    <mergeCell ref="AN4:AP4"/>
    <mergeCell ref="A5:P5"/>
  </mergeCells>
  <printOptions horizontalCentered="1"/>
  <pageMargins left="0.5" right="0.5" top="0.1" bottom="0.25" header="0" footer="0"/>
  <pageSetup scale="37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Raw Data</vt:lpstr>
      <vt:lpstr>Compilation</vt:lpstr>
      <vt:lpstr>Compilation 2</vt:lpstr>
      <vt:lpstr>Table</vt:lpstr>
      <vt:lpstr>Compilation!Print_Area</vt:lpstr>
      <vt:lpstr>'Compilation 2'!Print_Area</vt:lpstr>
      <vt:lpstr>'Raw Data'!Print_Area</vt:lpstr>
      <vt:lpstr>Table!Print_Area</vt:lpstr>
      <vt:lpstr>'Raw Data'!Print_Titles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Badgett, Simon J</cp:lastModifiedBy>
  <dcterms:created xsi:type="dcterms:W3CDTF">2013-03-19T19:19:41Z</dcterms:created>
  <dcterms:modified xsi:type="dcterms:W3CDTF">2013-03-19T19:19:42Z</dcterms:modified>
</cp:coreProperties>
</file>